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orø Vand AS (V17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15" i="6" l="1"/>
  <c r="E27" i="6" l="1"/>
  <c r="E17" i="5"/>
  <c r="E17" i="4"/>
  <c r="E17" i="3"/>
  <c r="E26" i="2"/>
  <c r="G18" i="15" l="1"/>
  <c r="E15" i="3" l="1"/>
  <c r="E24" i="2"/>
  <c r="E24" i="8" l="1"/>
  <c r="E28" i="8" s="1"/>
  <c r="E30" i="8" s="1"/>
  <c r="C11" i="12" l="1"/>
  <c r="E11" i="12"/>
  <c r="E10" i="11"/>
  <c r="C10" i="11"/>
  <c r="H11" i="9"/>
  <c r="J11" i="9"/>
  <c r="C15" i="7"/>
  <c r="F10" i="9" l="1"/>
  <c r="F11" i="9" s="1"/>
  <c r="E12" i="12"/>
  <c r="C12" i="12"/>
  <c r="E12" i="2" l="1"/>
  <c r="E11" i="11"/>
  <c r="C11" i="11"/>
  <c r="C10" i="10" l="1"/>
  <c r="C16" i="7"/>
  <c r="C12" i="10" l="1"/>
  <c r="C13" i="10" s="1"/>
  <c r="E13" i="5"/>
  <c r="E13" i="4"/>
  <c r="E13" i="3"/>
  <c r="E22" i="6"/>
  <c r="E16" i="6" l="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<sst xmlns="http://schemas.openxmlformats.org/spreadsheetml/2006/main" count="326" uniqueCount="156">
  <si>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</si>
  <si>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</si>
  <si>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</si>
  <si>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</si>
  <si>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</si>
  <si>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</si>
  <si>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</si>
  <si>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</si>
  <si>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</si>
  <si>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</si>
  <si>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</si>
  <si>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</si>
  <si>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</si>
  <si>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</si>
  <si>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</si>
  <si>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</si>
  <si>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</si>
  <si>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</si>
  <si>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</si>
  <si>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</si>
  <si>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</si>
  <si>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</si>
  <si>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</si>
  <si>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</si>
  <si>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</si>
  <si>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</si>
  <si>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</si>
  <si>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</si>
  <si>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</si>
  <si>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</si>
  <si>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</si>
  <si>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</si>
  <si>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</si>
  <si>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</si>
  <si>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</si>
  <si>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</si>
  <si>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</si>
  <si>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</si>
  <si>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</si>
  <si>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</si>
  <si>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</si>
  <si>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</si>
  <si>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</si>
  <si>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</si>
  <si>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</si>
  <si>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</si>
  <si>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</si>
  <si>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</si>
  <si>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</si>
  <si>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</si>
  <si>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</si>
  <si>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</si>
  <si>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</si>
  <si>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</si>
  <si>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</si>
  <si>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</si>
  <si>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</si>
  <si>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</si>
  <si>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</si>
  <si>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</si>
  <si>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</si>
  <si>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</si>
  <si>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</si>
  <si>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</si>
  <si>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</si>
  <si>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</si>
  <si>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</si>
  <si>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</si>
  <si>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</si>
  <si>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</si>
  <si>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</si>
  <si>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</si>
  <si>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</si>
  <si>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</si>
  <si>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</si>
  <si>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</si>
  <si>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</si>
  <si>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</si>
  <si>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</si>
  <si>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</si>
  <si>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</si>
  <si>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</si>
  <si>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</si>
  <si>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</si>
  <si>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</si>
  <si>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</si>
  <si>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</si>
  <si>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</si>
  <si>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</si>
  <si>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</si>
  <si>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</si>
  <si>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</si>
  <si>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</si>
  <si>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</si>
  <si>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</si>
  <si>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</si>
  <si>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</si>
  <si>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</si>
  <si>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</si>
  <si>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</si>
  <si>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</si>
  <si>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</si>
  <si>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</si>
  <si>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</si>
  <si>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</si>
  <si>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</si>
  <si>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</si>
  <si>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</si>
  <si>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</si>
  <si>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</si>
  <si>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</si>
  <si>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</si>
  <si>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</si>
  <si>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</si>
  <si>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</si>
  <si>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</si>
  <si>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</si>
  <si>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</si>
  <si>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</si>
  <si>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</si>
  <si>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</si>
  <si>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</si>
  <si>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</si>
  <si>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</si>
  <si>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</si>
  <si>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</si>
  <si>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</si>
  <si>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</si>
  <si>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</si>
  <si>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</si>
  <si>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Ejendomsskat</t>
  </si>
  <si>
    <t>Øvrige afgifter</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</si>
  <si>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</si>
  <si>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</si>
  <si>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</si>
  <si>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</si>
  <si>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</si>
  <si>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</si>
  <si>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</si>
  <si>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</si>
  <si>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</si>
  <si>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</si>
  <si>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</si>
  <si>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</si>
  <si>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</si>
  <si>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</si>
  <si>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</si>
  <si>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</si>
  <si>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Justering af den økonomiske ramme</t>
  </si>
  <si>
    <t>Ingen engangstillæg</t>
  </si>
  <si>
    <t>Økonomisk ramme for 2022</t>
  </si>
  <si>
    <t>Fane 7</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</si>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</sst>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8554687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151</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password="DFE9"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63" t="s">
        <v>136</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password="DFE9"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59" t="s">
        <v>15</v>
      </c>
      <c r="C9" s="59" t="s">
        <v>10</v>
      </c>
      <c r="D9" s="60"/>
      <c r="E9" s="59" t="s">
        <v>24</v>
      </c>
      <c r="F9" s="72"/>
      <c r="G9" s="1"/>
    </row>
    <row r="10" spans="1:7" x14ac:dyDescent="0.25">
      <c r="A10" s="1"/>
      <c r="B10" s="20" t="s">
        <v>137</v>
      </c>
      <c r="C10" s="19">
        <f>'Fane 7. Anlægsprojekter (§ 19)'!H11</f>
        <v>0</v>
      </c>
      <c r="D10" s="12" t="s">
        <v>3</v>
      </c>
      <c r="E10" s="8">
        <f>SUM('Fane 7. Anlægsprojekter (§ 19)'!F11,'Fane 7. Anlægsprojekter (§ 19)'!J11)</f>
        <v>0</v>
      </c>
      <c r="F10" s="12" t="s">
        <v>3</v>
      </c>
      <c r="G10" s="1"/>
    </row>
    <row r="11" spans="1:7" x14ac:dyDescent="0.25">
      <c r="A11" s="1"/>
      <c r="B11" s="20" t="s">
        <v>148</v>
      </c>
      <c r="C11" s="19">
        <v>55755</v>
      </c>
      <c r="D11" s="12" t="s">
        <v>3</v>
      </c>
      <c r="E11" s="8">
        <v>76029</v>
      </c>
      <c r="F11" s="12" t="s">
        <v>3</v>
      </c>
      <c r="G11" s="1"/>
    </row>
    <row r="12" spans="1:7" x14ac:dyDescent="0.25">
      <c r="A12" s="1"/>
      <c r="B12" s="73" t="s">
        <v>67</v>
      </c>
      <c r="C12" s="10">
        <f>SUM(C10:C11)</f>
        <v>55755</v>
      </c>
      <c r="D12" s="11" t="s">
        <v>3</v>
      </c>
      <c r="E12" s="10">
        <f>SUM(E10:E11)</f>
        <v>76029</v>
      </c>
      <c r="F12" s="11" t="s">
        <v>3</v>
      </c>
      <c r="G12" s="1"/>
    </row>
    <row r="13" spans="1:7" x14ac:dyDescent="0.25">
      <c r="A13" s="1"/>
      <c r="B13" s="73" t="s">
        <v>98</v>
      </c>
      <c r="C13" s="10">
        <f>C12*(1+'Fane 11. Nøgletal'!C15)</f>
        <v>57739.878000000004</v>
      </c>
      <c r="D13" s="11" t="s">
        <v>3</v>
      </c>
      <c r="E13" s="10">
        <f>E12*(1+'Fane 11. Nøgletal'!C15)</f>
        <v>78735.632400000002</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password="DFE9"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59" t="s">
        <v>15</v>
      </c>
      <c r="C8" s="59" t="s">
        <v>10</v>
      </c>
      <c r="D8" s="60"/>
      <c r="E8" s="59" t="s">
        <v>24</v>
      </c>
      <c r="F8" s="72"/>
      <c r="G8" s="1"/>
    </row>
    <row r="9" spans="1:7" x14ac:dyDescent="0.25">
      <c r="A9" s="1"/>
      <c r="B9" s="20" t="s">
        <v>149</v>
      </c>
      <c r="C9" s="19">
        <v>0</v>
      </c>
      <c r="D9" s="12" t="s">
        <v>3</v>
      </c>
      <c r="E9" s="19">
        <v>0</v>
      </c>
      <c r="F9" s="12" t="s">
        <v>3</v>
      </c>
      <c r="G9" s="1"/>
    </row>
    <row r="10" spans="1:7" x14ac:dyDescent="0.25">
      <c r="A10" s="1"/>
      <c r="B10" s="73" t="s">
        <v>107</v>
      </c>
      <c r="C10" s="10">
        <f>SUM(C9:C9)</f>
        <v>0</v>
      </c>
      <c r="D10" s="11" t="s">
        <v>3</v>
      </c>
      <c r="E10" s="10">
        <f>SUM(E9:E9)</f>
        <v>0</v>
      </c>
      <c r="F10" s="11" t="s">
        <v>3</v>
      </c>
      <c r="G10" s="1"/>
    </row>
    <row r="11" spans="1:7" x14ac:dyDescent="0.25">
      <c r="A11" s="1"/>
      <c r="B11" s="73"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password="DFE9"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1" t="s">
        <v>61</v>
      </c>
      <c r="C9" s="130" t="s">
        <v>10</v>
      </c>
      <c r="D9" s="131"/>
      <c r="E9" s="130" t="s">
        <v>24</v>
      </c>
      <c r="F9" s="131"/>
      <c r="G9" s="1"/>
    </row>
    <row r="10" spans="1:7" x14ac:dyDescent="0.25">
      <c r="A10" s="1"/>
      <c r="B10" s="20" t="s">
        <v>138</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password="DFE9"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1" t="s">
        <v>16</v>
      </c>
      <c r="C10" s="71" t="s">
        <v>10</v>
      </c>
      <c r="D10" s="72"/>
      <c r="E10" s="71" t="s">
        <v>24</v>
      </c>
      <c r="F10" s="72"/>
      <c r="G10" s="1"/>
    </row>
    <row r="11" spans="1:7" x14ac:dyDescent="0.25">
      <c r="A11" s="1"/>
      <c r="B11" s="20" t="s">
        <v>139</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password="DFE9"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password="DFE9"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12</v>
      </c>
      <c r="C8" s="54"/>
      <c r="D8" s="54"/>
      <c r="E8" s="54"/>
      <c r="F8" s="54"/>
      <c r="G8" s="1"/>
    </row>
    <row r="9" spans="1:7" x14ac:dyDescent="0.25">
      <c r="A9" s="1"/>
      <c r="B9" s="62" t="s">
        <v>55</v>
      </c>
      <c r="C9" s="62"/>
      <c r="D9" s="62"/>
      <c r="E9" s="7">
        <f>'Fane 3. Omkostninger i ØR2022'!E16</f>
        <v>6456259.0802399544</v>
      </c>
      <c r="F9" s="62" t="s">
        <v>3</v>
      </c>
      <c r="G9" s="1"/>
    </row>
    <row r="10" spans="1:7" ht="17.25" customHeight="1" x14ac:dyDescent="0.25">
      <c r="A10" s="1"/>
      <c r="B10" s="24" t="s">
        <v>50</v>
      </c>
      <c r="C10" s="62"/>
      <c r="D10" s="62"/>
      <c r="E10" s="7">
        <f>'Fane 8.1. Varige tillæg'!C13+'Fane 8.1. Varige tillæg'!E13</f>
        <v>136475.5104</v>
      </c>
      <c r="F10" s="62" t="s">
        <v>3</v>
      </c>
      <c r="G10" s="1"/>
    </row>
    <row r="11" spans="1:7" ht="17.25" customHeight="1" x14ac:dyDescent="0.25">
      <c r="A11" s="1"/>
      <c r="B11" s="24" t="s">
        <v>52</v>
      </c>
      <c r="C11" s="62"/>
      <c r="D11" s="62"/>
      <c r="E11" s="8">
        <f>-('Fane 10. Bortfald'!C13+'Fane 10. Bortfald'!E13)</f>
        <v>0</v>
      </c>
      <c r="F11" s="62" t="s">
        <v>3</v>
      </c>
      <c r="G11" s="1"/>
    </row>
    <row r="12" spans="1:7" ht="17.25" customHeight="1" x14ac:dyDescent="0.25">
      <c r="A12" s="1"/>
      <c r="B12" s="24" t="s">
        <v>54</v>
      </c>
      <c r="C12" s="62"/>
      <c r="D12" s="62"/>
      <c r="E12" s="8">
        <f>'Fane 9. Tilknyttet virksomhed'!C12+'Fane 9. Tilknyttet virksomhed'!E12</f>
        <v>0</v>
      </c>
      <c r="F12" s="62" t="s">
        <v>3</v>
      </c>
      <c r="G12" s="1"/>
    </row>
    <row r="13" spans="1:7" ht="17.25" customHeight="1" x14ac:dyDescent="0.25">
      <c r="A13" s="1"/>
      <c r="B13" s="24" t="s">
        <v>17</v>
      </c>
      <c r="C13" s="62"/>
      <c r="D13" s="62"/>
      <c r="E13" s="8">
        <f>SUM(E9:E12)*'Fane 11. Nøgletal'!C15</f>
        <v>234701.35142678238</v>
      </c>
      <c r="F13" s="62" t="s">
        <v>3</v>
      </c>
      <c r="G13" s="1"/>
    </row>
    <row r="14" spans="1:7" ht="17.25" customHeight="1" x14ac:dyDescent="0.25">
      <c r="A14" s="1"/>
      <c r="B14" s="24" t="s">
        <v>44</v>
      </c>
      <c r="C14" s="62"/>
      <c r="D14" s="62"/>
      <c r="E14" s="8">
        <f>-SUM(E9,E10:E13)*'Fane 11. Nøgletal'!C20</f>
        <v>-116066.41101513452</v>
      </c>
      <c r="F14" s="62" t="s">
        <v>3</v>
      </c>
      <c r="G14" s="1"/>
    </row>
    <row r="15" spans="1:7" ht="15" customHeight="1" x14ac:dyDescent="0.25">
      <c r="A15" s="1"/>
      <c r="B15" s="67" t="s">
        <v>19</v>
      </c>
      <c r="C15" s="28"/>
      <c r="D15" s="28"/>
      <c r="E15" s="9">
        <f>SUM(E9,E10:E14)</f>
        <v>6711369.5310516022</v>
      </c>
      <c r="F15" s="55" t="s">
        <v>3</v>
      </c>
      <c r="G15" s="1"/>
    </row>
    <row r="16" spans="1:7" ht="15" customHeight="1" x14ac:dyDescent="0.25">
      <c r="A16" s="1"/>
      <c r="B16" s="54" t="s">
        <v>11</v>
      </c>
      <c r="C16" s="54"/>
      <c r="D16" s="54"/>
      <c r="E16" s="54"/>
      <c r="F16" s="54"/>
      <c r="G16" s="1"/>
    </row>
    <row r="17" spans="1:7" ht="15" customHeight="1" x14ac:dyDescent="0.25">
      <c r="A17" s="1"/>
      <c r="B17" s="55" t="s">
        <v>11</v>
      </c>
      <c r="C17" s="55"/>
      <c r="D17" s="55"/>
      <c r="E17" s="9">
        <f>'Fane 4. Ikke-påvirkelige omk.'!C16</f>
        <v>3768356.4469833602</v>
      </c>
      <c r="F17" s="55" t="s">
        <v>3</v>
      </c>
      <c r="G17" s="1"/>
    </row>
    <row r="18" spans="1:7" ht="15" customHeight="1" x14ac:dyDescent="0.25">
      <c r="A18" s="1"/>
      <c r="B18" s="54" t="s">
        <v>36</v>
      </c>
      <c r="C18" s="54"/>
      <c r="D18" s="54"/>
      <c r="E18" s="54"/>
      <c r="F18" s="54"/>
      <c r="G18" s="1"/>
    </row>
    <row r="19" spans="1:7" ht="15" customHeight="1" x14ac:dyDescent="0.25">
      <c r="A19" s="1"/>
      <c r="B19" s="24" t="s">
        <v>33</v>
      </c>
      <c r="C19" s="62"/>
      <c r="D19" s="62"/>
      <c r="E19" s="8">
        <f>'Fane 8.2. Engangstillæg'!C11</f>
        <v>0</v>
      </c>
      <c r="F19" s="62" t="s">
        <v>3</v>
      </c>
      <c r="G19" s="1"/>
    </row>
    <row r="20" spans="1:7" x14ac:dyDescent="0.25">
      <c r="A20" s="1"/>
      <c r="B20" s="24" t="s">
        <v>34</v>
      </c>
      <c r="C20" s="62"/>
      <c r="D20" s="62"/>
      <c r="E20" s="8">
        <f>'Fane 8.2. Engangstillæg'!E11</f>
        <v>0</v>
      </c>
      <c r="F20" s="62" t="s">
        <v>3</v>
      </c>
      <c r="G20" s="1"/>
    </row>
    <row r="21" spans="1:7" x14ac:dyDescent="0.25">
      <c r="A21" s="1"/>
      <c r="B21" s="24" t="s">
        <v>106</v>
      </c>
      <c r="C21" s="62"/>
      <c r="D21" s="62"/>
      <c r="E21" s="8">
        <f>-SUM(E19:E20)*'Fane 11. Nøgletal'!C20</f>
        <v>0</v>
      </c>
      <c r="F21" s="62" t="s">
        <v>3</v>
      </c>
      <c r="G21" s="1"/>
    </row>
    <row r="22" spans="1:7" ht="15" customHeight="1" x14ac:dyDescent="0.25">
      <c r="A22" s="1"/>
      <c r="B22" s="67" t="s">
        <v>37</v>
      </c>
      <c r="C22" s="28"/>
      <c r="D22" s="28"/>
      <c r="E22" s="9">
        <f>SUM(E19:E21)</f>
        <v>0</v>
      </c>
      <c r="F22" s="55" t="s">
        <v>3</v>
      </c>
      <c r="G22" s="1"/>
    </row>
    <row r="23" spans="1:7" x14ac:dyDescent="0.25">
      <c r="A23" s="1"/>
      <c r="B23" s="54" t="s">
        <v>62</v>
      </c>
      <c r="C23" s="54"/>
      <c r="D23" s="54"/>
      <c r="E23" s="54"/>
      <c r="F23" s="54"/>
      <c r="G23" s="1"/>
    </row>
    <row r="24" spans="1:7" x14ac:dyDescent="0.25">
      <c r="A24" s="1"/>
      <c r="B24" s="67" t="s">
        <v>63</v>
      </c>
      <c r="C24" s="31"/>
      <c r="D24" s="31"/>
      <c r="E24" s="9">
        <f>'Fane 5. Kontrol af ØR2021'!E30</f>
        <v>0</v>
      </c>
      <c r="F24" s="55" t="s">
        <v>3</v>
      </c>
      <c r="G24" s="1"/>
    </row>
    <row r="25" spans="1:7" x14ac:dyDescent="0.25">
      <c r="A25" s="1"/>
      <c r="B25" s="54" t="s">
        <v>75</v>
      </c>
      <c r="C25" s="54"/>
      <c r="D25" s="54"/>
      <c r="E25" s="54"/>
      <c r="F25" s="54"/>
      <c r="G25" s="1"/>
    </row>
    <row r="26" spans="1:7" x14ac:dyDescent="0.25">
      <c r="A26" s="1"/>
      <c r="B26" s="55" t="s">
        <v>76</v>
      </c>
      <c r="C26" s="55"/>
      <c r="D26" s="55"/>
      <c r="E26" s="9">
        <f>'Fane 6. Skattesagen'!G12</f>
        <v>0</v>
      </c>
      <c r="F26" s="55" t="s">
        <v>3</v>
      </c>
      <c r="G26" s="1"/>
    </row>
    <row r="27" spans="1:7" x14ac:dyDescent="0.25">
      <c r="A27" s="1"/>
      <c r="B27" s="54" t="s">
        <v>39</v>
      </c>
      <c r="C27" s="54"/>
      <c r="D27" s="54"/>
      <c r="E27" s="10">
        <f>SUM(E15:E17:E22:E24:E26)</f>
        <v>10479725.978034962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password="DFE9"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56</v>
      </c>
      <c r="C8" s="62"/>
      <c r="D8" s="62"/>
      <c r="E8" s="7">
        <f>'Fane 2.1. Økonomisk ramme 2023'!E15</f>
        <v>6711369.5310516022</v>
      </c>
      <c r="F8" s="62" t="s">
        <v>3</v>
      </c>
      <c r="G8" s="1"/>
    </row>
    <row r="9" spans="1:7" ht="15" customHeight="1" x14ac:dyDescent="0.25">
      <c r="A9" s="1"/>
      <c r="B9" s="53" t="s">
        <v>17</v>
      </c>
      <c r="C9" s="62"/>
      <c r="D9" s="62"/>
      <c r="E9" s="8">
        <f>SUM(E8:E8)*'Fane 11. Nøgletal'!C15</f>
        <v>238924.75530543705</v>
      </c>
      <c r="F9" s="62" t="s">
        <v>3</v>
      </c>
      <c r="G9" s="1"/>
    </row>
    <row r="10" spans="1:7" ht="15" customHeight="1" x14ac:dyDescent="0.25">
      <c r="A10" s="1"/>
      <c r="B10" s="53" t="s">
        <v>44</v>
      </c>
      <c r="C10" s="62"/>
      <c r="D10" s="62"/>
      <c r="E10" s="8">
        <f>-SUM(E8:E9)*'Fane 11. Nøgletal'!C20</f>
        <v>-118155.00286806969</v>
      </c>
      <c r="F10" s="62" t="s">
        <v>3</v>
      </c>
      <c r="G10" s="1"/>
    </row>
    <row r="11" spans="1:7" ht="15" customHeight="1" x14ac:dyDescent="0.25">
      <c r="A11" s="1"/>
      <c r="B11" s="28" t="s">
        <v>19</v>
      </c>
      <c r="C11" s="28"/>
      <c r="D11" s="28"/>
      <c r="E11" s="9">
        <f>SUM(E8:E10)</f>
        <v>6832139.2834889702</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omk.'!C16*(1+'Fane 11. Nøgletal'!C15)</f>
        <v>3902509.9364959681</v>
      </c>
      <c r="F13" s="55" t="s">
        <v>3</v>
      </c>
      <c r="G13" s="1"/>
    </row>
    <row r="14" spans="1:7" x14ac:dyDescent="0.25">
      <c r="A14" s="1"/>
      <c r="B14" s="54" t="s">
        <v>62</v>
      </c>
      <c r="C14" s="54"/>
      <c r="D14" s="54"/>
      <c r="E14" s="54"/>
      <c r="F14" s="54"/>
      <c r="G14" s="1"/>
    </row>
    <row r="15" spans="1:7" x14ac:dyDescent="0.25">
      <c r="A15" s="1"/>
      <c r="B15" s="55" t="s">
        <v>77</v>
      </c>
      <c r="C15" s="32"/>
      <c r="D15" s="32"/>
      <c r="E15" s="9">
        <f>'Fane 5. Kontrol af ØR2021'!E30</f>
        <v>0</v>
      </c>
      <c r="F15" s="55" t="s">
        <v>3</v>
      </c>
      <c r="G15" s="1"/>
    </row>
    <row r="16" spans="1:7" x14ac:dyDescent="0.25">
      <c r="A16" s="1"/>
      <c r="B16" s="54" t="s">
        <v>75</v>
      </c>
      <c r="C16" s="54"/>
      <c r="D16" s="54"/>
      <c r="E16" s="54"/>
      <c r="F16" s="54"/>
      <c r="G16" s="1"/>
    </row>
    <row r="17" spans="1:7" x14ac:dyDescent="0.25">
      <c r="A17" s="1"/>
      <c r="B17" s="55" t="s">
        <v>76</v>
      </c>
      <c r="C17" s="55"/>
      <c r="D17" s="55"/>
      <c r="E17" s="9">
        <f>'Fane 6. Skattesagen'!G13</f>
        <v>0</v>
      </c>
      <c r="F17" s="55" t="s">
        <v>3</v>
      </c>
      <c r="G17" s="1"/>
    </row>
    <row r="18" spans="1:7" x14ac:dyDescent="0.25">
      <c r="A18" s="1"/>
      <c r="B18" s="54" t="s">
        <v>57</v>
      </c>
      <c r="C18" s="54"/>
      <c r="D18" s="54"/>
      <c r="E18" s="10">
        <f>SUM(E11,E13,E15,E17)</f>
        <v>10734649.219984937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password="DFE9"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65</v>
      </c>
      <c r="C8" s="62"/>
      <c r="D8" s="62"/>
      <c r="E8" s="7">
        <f>'Fane 2.2. Økonomisk ramme 2024'!E11</f>
        <v>6832139.2834889702</v>
      </c>
      <c r="F8" s="62" t="s">
        <v>3</v>
      </c>
      <c r="G8" s="1"/>
    </row>
    <row r="9" spans="1:7" ht="15" customHeight="1" x14ac:dyDescent="0.25">
      <c r="A9" s="1"/>
      <c r="B9" s="53" t="s">
        <v>17</v>
      </c>
      <c r="C9" s="62"/>
      <c r="D9" s="62"/>
      <c r="E9" s="8">
        <f>SUM(E8:E8)*'Fane 11. Nøgletal'!C15</f>
        <v>243224.15849220735</v>
      </c>
      <c r="F9" s="62" t="s">
        <v>3</v>
      </c>
      <c r="G9" s="1"/>
    </row>
    <row r="10" spans="1:7" ht="15" customHeight="1" x14ac:dyDescent="0.25">
      <c r="A10" s="1"/>
      <c r="B10" s="53" t="s">
        <v>44</v>
      </c>
      <c r="C10" s="62"/>
      <c r="D10" s="62"/>
      <c r="E10" s="8">
        <f>-SUM(E8:E9)*'Fane 11. Nøgletal'!C20</f>
        <v>-120281.17851368003</v>
      </c>
      <c r="F10" s="62" t="s">
        <v>3</v>
      </c>
      <c r="G10" s="1"/>
    </row>
    <row r="11" spans="1:7" x14ac:dyDescent="0.25">
      <c r="A11" s="1"/>
      <c r="B11" s="28" t="s">
        <v>19</v>
      </c>
      <c r="C11" s="28"/>
      <c r="D11" s="28"/>
      <c r="E11" s="9">
        <f>SUM(E8:E10)</f>
        <v>6955082.2634674981</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omk.'!C16*(1+'Fane 11. Nøgletal'!C15)^2</f>
        <v>4041439.2902352246</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Skattesagen'!G14</f>
        <v>0</v>
      </c>
      <c r="F17" s="55" t="s">
        <v>3</v>
      </c>
      <c r="G17" s="1"/>
    </row>
    <row r="18" spans="1:7" x14ac:dyDescent="0.25">
      <c r="A18" s="1"/>
      <c r="B18" s="54" t="s">
        <v>66</v>
      </c>
      <c r="C18" s="54"/>
      <c r="D18" s="54"/>
      <c r="E18" s="10">
        <f>SUM(E11,E13,E15,E17)</f>
        <v>10996521.553702723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password="DFE9"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86</v>
      </c>
      <c r="C8" s="62"/>
      <c r="D8" s="62"/>
      <c r="E8" s="7">
        <f>'Fane 2.3. Økonomisk ramme 2025'!E11</f>
        <v>6955082.2634674981</v>
      </c>
      <c r="F8" s="62" t="s">
        <v>3</v>
      </c>
      <c r="G8" s="1"/>
    </row>
    <row r="9" spans="1:7" ht="15" customHeight="1" x14ac:dyDescent="0.25">
      <c r="A9" s="1"/>
      <c r="B9" s="53" t="s">
        <v>17</v>
      </c>
      <c r="C9" s="62"/>
      <c r="D9" s="62"/>
      <c r="E9" s="8">
        <f>SUM(E8:E8)*'Fane 11. Nøgletal'!C15</f>
        <v>247600.92857944293</v>
      </c>
      <c r="F9" s="62" t="s">
        <v>3</v>
      </c>
      <c r="G9" s="1"/>
    </row>
    <row r="10" spans="1:7" ht="15" customHeight="1" x14ac:dyDescent="0.25">
      <c r="A10" s="1"/>
      <c r="B10" s="53" t="s">
        <v>44</v>
      </c>
      <c r="C10" s="62"/>
      <c r="D10" s="62"/>
      <c r="E10" s="8">
        <f>-SUM(E8:E9)*'Fane 11. Nøgletal'!C20</f>
        <v>-122445.61426479802</v>
      </c>
      <c r="F10" s="62" t="s">
        <v>3</v>
      </c>
      <c r="G10" s="1"/>
    </row>
    <row r="11" spans="1:7" x14ac:dyDescent="0.25">
      <c r="A11" s="1"/>
      <c r="B11" s="28" t="s">
        <v>19</v>
      </c>
      <c r="C11" s="28"/>
      <c r="D11" s="28"/>
      <c r="E11" s="9">
        <f>SUM(E8:E10)</f>
        <v>7080237.5777821429</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omk.'!C16*(1+'Fane 11. Nøgletal'!C15)^3</f>
        <v>4185314.5289675989</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Skattesagen'!G15</f>
        <v>0</v>
      </c>
      <c r="F17" s="55" t="s">
        <v>3</v>
      </c>
      <c r="G17" s="1"/>
    </row>
    <row r="18" spans="1:7" x14ac:dyDescent="0.25">
      <c r="A18" s="1"/>
      <c r="B18" s="54" t="s">
        <v>87</v>
      </c>
      <c r="C18" s="54"/>
      <c r="D18" s="54"/>
      <c r="E18" s="10">
        <f>SUM(E11,E13,E15,E17)</f>
        <v>11265552.106749741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password="DFE9"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89</v>
      </c>
      <c r="C8" s="54"/>
      <c r="D8" s="54"/>
      <c r="E8" s="54"/>
      <c r="F8" s="54"/>
      <c r="G8" s="1"/>
    </row>
    <row r="9" spans="1:7" x14ac:dyDescent="0.25">
      <c r="A9" s="1"/>
      <c r="B9" s="93" t="s">
        <v>22</v>
      </c>
      <c r="C9" s="93"/>
      <c r="D9" s="93"/>
      <c r="E9" s="7">
        <v>6483762.5483240047</v>
      </c>
      <c r="F9" s="62" t="s">
        <v>3</v>
      </c>
      <c r="G9" s="1"/>
    </row>
    <row r="10" spans="1:7" x14ac:dyDescent="0.25">
      <c r="A10" s="1"/>
      <c r="B10" s="95" t="s">
        <v>103</v>
      </c>
      <c r="C10" s="96"/>
      <c r="D10" s="97"/>
      <c r="E10" s="7">
        <v>0</v>
      </c>
      <c r="F10" s="62" t="s">
        <v>3</v>
      </c>
      <c r="G10" s="1"/>
    </row>
    <row r="11" spans="1:7" x14ac:dyDescent="0.25">
      <c r="A11" s="1"/>
      <c r="B11" s="94" t="s">
        <v>50</v>
      </c>
      <c r="C11" s="94"/>
      <c r="D11" s="94"/>
      <c r="E11" s="7">
        <v>5032.5528000000004</v>
      </c>
      <c r="F11" s="62" t="s">
        <v>3</v>
      </c>
      <c r="G11" s="1"/>
    </row>
    <row r="12" spans="1:7" x14ac:dyDescent="0.25">
      <c r="A12" s="1"/>
      <c r="B12" s="94" t="s">
        <v>54</v>
      </c>
      <c r="C12" s="94"/>
      <c r="D12" s="94"/>
      <c r="E12" s="7">
        <v>0</v>
      </c>
      <c r="F12" s="62" t="s">
        <v>3</v>
      </c>
      <c r="G12" s="1"/>
    </row>
    <row r="13" spans="1:7" x14ac:dyDescent="0.25">
      <c r="A13" s="1"/>
      <c r="B13" s="94" t="s">
        <v>51</v>
      </c>
      <c r="C13" s="94"/>
      <c r="D13" s="94"/>
      <c r="E13" s="8">
        <v>0</v>
      </c>
      <c r="F13" s="62" t="s">
        <v>3</v>
      </c>
      <c r="G13" s="1"/>
    </row>
    <row r="14" spans="1:7" x14ac:dyDescent="0.25">
      <c r="A14" s="1"/>
      <c r="B14" s="94" t="s">
        <v>17</v>
      </c>
      <c r="C14" s="94"/>
      <c r="D14" s="94"/>
      <c r="E14" s="8">
        <f>E9*'Fane 11. Nøgletal'!C13+SUM(E11:E13)*'Fane 11. Nøgletal'!C14</f>
        <v>79118.510513792862</v>
      </c>
      <c r="F14" s="62" t="s">
        <v>3</v>
      </c>
      <c r="G14" s="1"/>
    </row>
    <row r="15" spans="1:7" x14ac:dyDescent="0.25">
      <c r="A15" s="1"/>
      <c r="B15" s="94" t="s">
        <v>44</v>
      </c>
      <c r="C15" s="94"/>
      <c r="D15" s="94"/>
      <c r="E15" s="8">
        <f>-SUM(E9:E14)*'Fane 11. Nøgletal'!C20</f>
        <v>-111654.53139784255</v>
      </c>
      <c r="F15" s="62" t="s">
        <v>3</v>
      </c>
      <c r="G15" s="1"/>
    </row>
    <row r="16" spans="1:7" x14ac:dyDescent="0.25">
      <c r="A16" s="1"/>
      <c r="B16" s="99" t="s">
        <v>19</v>
      </c>
      <c r="C16" s="99"/>
      <c r="D16" s="99"/>
      <c r="E16" s="33">
        <f>SUM(E9:E15)</f>
        <v>6456259.0802399544</v>
      </c>
      <c r="F16" s="34" t="s">
        <v>3</v>
      </c>
      <c r="G16" s="1"/>
    </row>
    <row r="17" spans="1:7" x14ac:dyDescent="0.25">
      <c r="A17" s="1"/>
      <c r="B17" s="100" t="s">
        <v>11</v>
      </c>
      <c r="C17" s="100"/>
      <c r="D17" s="100"/>
      <c r="E17" s="54"/>
      <c r="F17" s="54"/>
      <c r="G17" s="1"/>
    </row>
    <row r="18" spans="1:7" x14ac:dyDescent="0.25">
      <c r="A18" s="1"/>
      <c r="B18" s="101" t="s">
        <v>11</v>
      </c>
      <c r="C18" s="101"/>
      <c r="D18" s="101"/>
      <c r="E18" s="9">
        <v>3353828.1765237805</v>
      </c>
      <c r="F18" s="55" t="s">
        <v>3</v>
      </c>
      <c r="G18" s="1"/>
    </row>
    <row r="19" spans="1:7" ht="15.4" customHeight="1" x14ac:dyDescent="0.25">
      <c r="A19" s="1"/>
      <c r="B19" s="54" t="s">
        <v>36</v>
      </c>
      <c r="C19" s="54"/>
      <c r="D19" s="54"/>
      <c r="E19" s="54"/>
      <c r="F19" s="54"/>
      <c r="G19" s="1"/>
    </row>
    <row r="20" spans="1:7" ht="15.75" customHeight="1" x14ac:dyDescent="0.25">
      <c r="A20" s="1"/>
      <c r="B20" s="102" t="s">
        <v>33</v>
      </c>
      <c r="C20" s="103"/>
      <c r="D20" s="104"/>
      <c r="E20" s="52">
        <v>0</v>
      </c>
      <c r="F20" s="27" t="s">
        <v>3</v>
      </c>
      <c r="G20" s="1"/>
    </row>
    <row r="21" spans="1:7" x14ac:dyDescent="0.25">
      <c r="A21" s="1"/>
      <c r="B21" s="102" t="s">
        <v>34</v>
      </c>
      <c r="C21" s="103"/>
      <c r="D21" s="104"/>
      <c r="E21" s="52">
        <v>0</v>
      </c>
      <c r="F21" s="27" t="s">
        <v>3</v>
      </c>
      <c r="G21" s="1"/>
    </row>
    <row r="22" spans="1:7" x14ac:dyDescent="0.25">
      <c r="A22" s="1"/>
      <c r="B22" s="105" t="s">
        <v>37</v>
      </c>
      <c r="C22" s="106"/>
      <c r="D22" s="107"/>
      <c r="E22" s="9">
        <f>SUM(E20:E21)</f>
        <v>0</v>
      </c>
      <c r="F22" s="9" t="s">
        <v>3</v>
      </c>
      <c r="G22" s="1"/>
    </row>
    <row r="23" spans="1:7" ht="15.75" customHeight="1" x14ac:dyDescent="0.25">
      <c r="A23" s="1"/>
      <c r="B23" s="54" t="s">
        <v>62</v>
      </c>
      <c r="C23" s="54"/>
      <c r="D23" s="54"/>
      <c r="E23" s="54"/>
      <c r="F23" s="54"/>
      <c r="G23" s="1"/>
    </row>
    <row r="24" spans="1:7" x14ac:dyDescent="0.25">
      <c r="A24" s="1"/>
      <c r="B24" s="67" t="s">
        <v>27</v>
      </c>
      <c r="C24" s="28"/>
      <c r="D24" s="28"/>
      <c r="E24" s="9">
        <v>346840.3738972664</v>
      </c>
      <c r="F24" s="55" t="s">
        <v>3</v>
      </c>
      <c r="G24" s="1"/>
    </row>
    <row r="25" spans="1:7" x14ac:dyDescent="0.25">
      <c r="A25" s="1"/>
      <c r="B25" s="67" t="s">
        <v>63</v>
      </c>
      <c r="C25" s="28"/>
      <c r="D25" s="28"/>
      <c r="E25" s="9">
        <v>0</v>
      </c>
      <c r="F25" s="55" t="s">
        <v>3</v>
      </c>
      <c r="G25" s="1"/>
    </row>
    <row r="26" spans="1:7" x14ac:dyDescent="0.25">
      <c r="A26" s="1"/>
      <c r="B26" s="54" t="s">
        <v>75</v>
      </c>
      <c r="C26" s="54"/>
      <c r="D26" s="54"/>
      <c r="E26" s="54"/>
      <c r="F26" s="54"/>
      <c r="G26" s="1"/>
    </row>
    <row r="27" spans="1:7" x14ac:dyDescent="0.25">
      <c r="A27" s="1"/>
      <c r="B27" s="108" t="s">
        <v>76</v>
      </c>
      <c r="C27" s="109"/>
      <c r="D27" s="110"/>
      <c r="E27" s="9">
        <f>'Fane 6. Skattesagen'!G11</f>
        <v>0</v>
      </c>
      <c r="F27" s="55" t="s">
        <v>3</v>
      </c>
      <c r="G27" s="1"/>
    </row>
    <row r="28" spans="1:7" ht="15" customHeight="1" x14ac:dyDescent="0.25">
      <c r="A28" s="1"/>
      <c r="B28" s="35" t="s">
        <v>150</v>
      </c>
      <c r="C28" s="35"/>
      <c r="D28" s="35"/>
      <c r="E28" s="36">
        <f>E16+E18+E22+E24+E25+E27</f>
        <v>10156927.630661</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password="DFE9"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5" t="s">
        <v>109</v>
      </c>
      <c r="D9" s="55"/>
      <c r="E9" s="1"/>
      <c r="F9" s="1"/>
    </row>
    <row r="10" spans="1:6" x14ac:dyDescent="0.25">
      <c r="A10" s="1"/>
      <c r="B10" s="23" t="s">
        <v>127</v>
      </c>
      <c r="C10" s="8">
        <v>3222096</v>
      </c>
      <c r="D10" s="12" t="s">
        <v>3</v>
      </c>
      <c r="E10" s="1"/>
      <c r="F10" s="1"/>
    </row>
    <row r="11" spans="1:6" x14ac:dyDescent="0.25">
      <c r="A11" s="1"/>
      <c r="B11" s="23" t="s">
        <v>128</v>
      </c>
      <c r="C11" s="8">
        <v>14656</v>
      </c>
      <c r="D11" s="12" t="s">
        <v>3</v>
      </c>
      <c r="E11" s="1"/>
      <c r="F11" s="1"/>
    </row>
    <row r="12" spans="1:6" x14ac:dyDescent="0.25">
      <c r="A12" s="1"/>
      <c r="B12" s="23" t="s">
        <v>129</v>
      </c>
      <c r="C12" s="8">
        <v>40408</v>
      </c>
      <c r="D12" s="12" t="s">
        <v>3</v>
      </c>
      <c r="E12" s="1"/>
      <c r="F12" s="1"/>
    </row>
    <row r="13" spans="1:6" x14ac:dyDescent="0.25">
      <c r="A13" s="1"/>
      <c r="B13" s="23" t="s">
        <v>130</v>
      </c>
      <c r="C13" s="8">
        <v>53856</v>
      </c>
      <c r="D13" s="12" t="s">
        <v>3</v>
      </c>
      <c r="E13" s="1"/>
      <c r="F13" s="1"/>
    </row>
    <row r="14" spans="1:6" x14ac:dyDescent="0.25">
      <c r="A14" s="1"/>
      <c r="B14" s="23" t="s">
        <v>131</v>
      </c>
      <c r="C14" s="8">
        <v>182710</v>
      </c>
      <c r="D14" s="12" t="s">
        <v>3</v>
      </c>
      <c r="E14" s="1"/>
      <c r="F14" s="1"/>
    </row>
    <row r="15" spans="1:6" x14ac:dyDescent="0.25">
      <c r="A15" s="1"/>
      <c r="B15" s="73" t="s">
        <v>92</v>
      </c>
      <c r="C15" s="10">
        <f>SUM(C10:C14)</f>
        <v>3513726</v>
      </c>
      <c r="D15" s="11" t="s">
        <v>3</v>
      </c>
      <c r="E15" s="1"/>
      <c r="F15" s="1"/>
    </row>
    <row r="16" spans="1:6" x14ac:dyDescent="0.25">
      <c r="A16" s="1"/>
      <c r="B16" s="73" t="s">
        <v>93</v>
      </c>
      <c r="C16" s="10">
        <f>C15*(1+'Fane 11. Nøgletal'!C15)^2</f>
        <v>3768356.4469833602</v>
      </c>
      <c r="D16" s="11" t="s">
        <v>3</v>
      </c>
      <c r="E16" s="1"/>
      <c r="F16" s="1"/>
    </row>
    <row r="17" spans="1:6" x14ac:dyDescent="0.25">
      <c r="A17" s="1"/>
      <c r="B17" s="14"/>
      <c r="C17" s="13"/>
      <c r="D17" s="13"/>
      <c r="E17" s="1"/>
      <c r="F17" s="1"/>
    </row>
    <row r="18" spans="1:6" x14ac:dyDescent="0.25">
      <c r="A18" s="1"/>
      <c r="B18" s="14"/>
      <c r="C18" s="13"/>
      <c r="D18" s="13"/>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sheetData>
  <sheetProtection password="DFE9"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155</v>
      </c>
      <c r="C3" s="92"/>
      <c r="D3" s="92"/>
      <c r="E3" s="92"/>
      <c r="F3" s="92"/>
      <c r="G3" s="1"/>
    </row>
    <row r="4" spans="1:7" ht="15" customHeight="1" x14ac:dyDescent="0.25">
      <c r="A4" s="1"/>
      <c r="B4" s="92"/>
      <c r="C4" s="92"/>
      <c r="D4" s="92"/>
      <c r="E4" s="92"/>
      <c r="F4" s="92"/>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417937.67873292975</v>
      </c>
      <c r="F9" s="12" t="s">
        <v>3</v>
      </c>
      <c r="G9" s="1"/>
    </row>
    <row r="10" spans="1:7" x14ac:dyDescent="0.25">
      <c r="A10" s="1"/>
      <c r="B10" s="118" t="s">
        <v>132</v>
      </c>
      <c r="C10" s="119"/>
      <c r="D10" s="120"/>
      <c r="E10" s="8">
        <v>417937.67873292975</v>
      </c>
      <c r="F10" s="12" t="s">
        <v>3</v>
      </c>
      <c r="G10" s="1"/>
    </row>
    <row r="11" spans="1:7" x14ac:dyDescent="0.25">
      <c r="A11" s="1"/>
      <c r="B11" s="73"/>
      <c r="C11" s="22"/>
      <c r="D11" s="22"/>
      <c r="E11" s="22"/>
      <c r="F11" s="74"/>
      <c r="G11" s="1"/>
    </row>
    <row r="12" spans="1:7" ht="68.25" customHeight="1" x14ac:dyDescent="0.25">
      <c r="A12" s="1"/>
      <c r="B12" s="124" t="s">
        <v>152</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133</v>
      </c>
      <c r="C16" s="119"/>
      <c r="D16" s="120"/>
      <c r="E16" s="8">
        <v>0</v>
      </c>
      <c r="F16" s="12" t="s">
        <v>3</v>
      </c>
      <c r="G16" s="1"/>
    </row>
    <row r="17" spans="1:7" x14ac:dyDescent="0.25">
      <c r="A17" s="1"/>
      <c r="B17" s="73"/>
      <c r="C17" s="22"/>
      <c r="D17" s="22"/>
      <c r="E17" s="22"/>
      <c r="F17" s="74"/>
      <c r="G17" s="1"/>
    </row>
    <row r="18" spans="1:7" ht="31.5" customHeight="1" x14ac:dyDescent="0.25">
      <c r="A18" s="1"/>
      <c r="B18" s="124" t="s">
        <v>153</v>
      </c>
      <c r="C18" s="125"/>
      <c r="D18" s="125"/>
      <c r="E18" s="125"/>
      <c r="F18" s="126"/>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10688472.934468992</v>
      </c>
      <c r="F21" s="12" t="s">
        <v>3</v>
      </c>
      <c r="G21" s="1"/>
    </row>
    <row r="22" spans="1:7" x14ac:dyDescent="0.25">
      <c r="A22" s="1"/>
      <c r="B22" s="68" t="s">
        <v>134</v>
      </c>
      <c r="C22" s="69"/>
      <c r="D22" s="70"/>
      <c r="E22" s="8">
        <v>10108057</v>
      </c>
      <c r="F22" s="12" t="s">
        <v>3</v>
      </c>
      <c r="G22" s="1"/>
    </row>
    <row r="23" spans="1:7" x14ac:dyDescent="0.25">
      <c r="A23" s="1"/>
      <c r="B23" s="68" t="s">
        <v>26</v>
      </c>
      <c r="C23" s="69"/>
      <c r="D23" s="70"/>
      <c r="E23" s="8">
        <v>0</v>
      </c>
      <c r="F23" s="12" t="s">
        <v>3</v>
      </c>
      <c r="G23" s="1"/>
    </row>
    <row r="24" spans="1:7" x14ac:dyDescent="0.25">
      <c r="A24" s="1"/>
      <c r="B24" s="56" t="s">
        <v>154</v>
      </c>
      <c r="C24" s="57"/>
      <c r="D24" s="58"/>
      <c r="E24" s="50">
        <f>E21-(E22-E23)</f>
        <v>580415.93446899205</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1" t="s">
        <v>135</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password="DFE9"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140</v>
      </c>
      <c r="C10" s="96"/>
      <c r="D10" s="96"/>
      <c r="E10" s="96"/>
      <c r="F10" s="97"/>
      <c r="G10" s="51">
        <v>0</v>
      </c>
      <c r="H10" s="8" t="s">
        <v>3</v>
      </c>
      <c r="I10" s="1"/>
    </row>
    <row r="11" spans="1:9" x14ac:dyDescent="0.25">
      <c r="A11" s="1"/>
      <c r="B11" s="95" t="s">
        <v>141</v>
      </c>
      <c r="C11" s="96"/>
      <c r="D11" s="96"/>
      <c r="E11" s="96"/>
      <c r="F11" s="97"/>
      <c r="G11" s="51">
        <v>0</v>
      </c>
      <c r="H11" s="8" t="s">
        <v>3</v>
      </c>
      <c r="I11" s="1"/>
    </row>
    <row r="12" spans="1:9" x14ac:dyDescent="0.25">
      <c r="A12" s="1"/>
      <c r="B12" s="95" t="s">
        <v>142</v>
      </c>
      <c r="C12" s="96"/>
      <c r="D12" s="96"/>
      <c r="E12" s="96"/>
      <c r="F12" s="97"/>
      <c r="G12" s="8">
        <v>0</v>
      </c>
      <c r="H12" s="8" t="s">
        <v>3</v>
      </c>
      <c r="I12" s="1"/>
    </row>
    <row r="13" spans="1:9" x14ac:dyDescent="0.25">
      <c r="A13" s="1"/>
      <c r="B13" s="95" t="s">
        <v>143</v>
      </c>
      <c r="C13" s="96"/>
      <c r="D13" s="96"/>
      <c r="E13" s="96"/>
      <c r="F13" s="97"/>
      <c r="G13" s="8">
        <v>0</v>
      </c>
      <c r="H13" s="8" t="s">
        <v>3</v>
      </c>
      <c r="I13" s="1"/>
    </row>
    <row r="14" spans="1:9" x14ac:dyDescent="0.25">
      <c r="A14" s="1"/>
      <c r="B14" s="95" t="s">
        <v>144</v>
      </c>
      <c r="C14" s="96"/>
      <c r="D14" s="96"/>
      <c r="E14" s="96"/>
      <c r="F14" s="97"/>
      <c r="G14" s="8">
        <v>0</v>
      </c>
      <c r="H14" s="8" t="s">
        <v>3</v>
      </c>
      <c r="I14" s="1"/>
    </row>
    <row r="15" spans="1:9" x14ac:dyDescent="0.25">
      <c r="A15" s="1"/>
      <c r="B15" s="95" t="s">
        <v>145</v>
      </c>
      <c r="C15" s="96"/>
      <c r="D15" s="96"/>
      <c r="E15" s="96"/>
      <c r="F15" s="97"/>
      <c r="G15" s="8">
        <v>0</v>
      </c>
      <c r="H15" s="8" t="s">
        <v>3</v>
      </c>
      <c r="I15" s="1"/>
    </row>
    <row r="16" spans="1:9" x14ac:dyDescent="0.25">
      <c r="A16" s="1"/>
      <c r="B16" s="95" t="s">
        <v>146</v>
      </c>
      <c r="C16" s="96"/>
      <c r="D16" s="96"/>
      <c r="E16" s="96"/>
      <c r="F16" s="97"/>
      <c r="G16" s="8">
        <v>0</v>
      </c>
      <c r="H16" s="8" t="s">
        <v>3</v>
      </c>
      <c r="I16" s="1"/>
    </row>
    <row r="17" spans="1:9" x14ac:dyDescent="0.25">
      <c r="A17" s="1"/>
      <c r="B17" s="95" t="s">
        <v>147</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password="DFE9"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Tess Silke Duchatel Kauffmann</cp:lastModifiedBy>
  <cp:lastPrinted>2016-06-14T12:57:30Z</cp:lastPrinted>
  <dcterms:created xsi:type="dcterms:W3CDTF">2016-06-02T08:51:18Z</dcterms:created>
  <dcterms:modified xsi:type="dcterms:W3CDTF">2022-08-24T08:46:25Z</dcterms:modified>
</cp:coreProperties>
</file>