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erning Vand AS (V08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<sst xmlns="http://schemas.openxmlformats.org/spreadsheetml/2006/main" count="509" uniqueCount="254">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</sst>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7" t="s">
        <v>194</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104" t="s">
        <v>11</v>
      </c>
      <c r="E21" s="105"/>
      <c r="F21" s="105"/>
      <c r="G21" s="106"/>
      <c r="H21" s="1"/>
      <c r="I21" s="1"/>
    </row>
    <row r="22" spans="1:9" x14ac:dyDescent="0.25">
      <c r="A22" s="1"/>
      <c r="B22" s="1"/>
      <c r="C22" s="6" t="s">
        <v>78</v>
      </c>
      <c r="D22" s="93" t="s">
        <v>164</v>
      </c>
      <c r="E22" s="94"/>
      <c r="F22" s="94"/>
      <c r="G22" s="95"/>
      <c r="H22" s="1"/>
      <c r="I22" s="1"/>
    </row>
    <row r="23" spans="1:9" x14ac:dyDescent="0.25">
      <c r="A23" s="1"/>
      <c r="B23" s="1"/>
      <c r="C23" s="6" t="s">
        <v>8</v>
      </c>
      <c r="D23" s="93" t="s">
        <v>219</v>
      </c>
      <c r="E23" s="94"/>
      <c r="F23" s="94"/>
      <c r="G23" s="95"/>
      <c r="H23" s="1"/>
      <c r="I23" s="1"/>
    </row>
    <row r="24" spans="1:9" x14ac:dyDescent="0.25">
      <c r="A24" s="1"/>
      <c r="B24" s="1"/>
      <c r="C24" s="6" t="s">
        <v>215</v>
      </c>
      <c r="D24" s="93" t="s">
        <v>205</v>
      </c>
      <c r="E24" s="94"/>
      <c r="F24" s="94"/>
      <c r="G24" s="95"/>
      <c r="H24" s="1"/>
      <c r="I24" s="1"/>
    </row>
    <row r="25" spans="1:9" x14ac:dyDescent="0.25">
      <c r="A25" s="1"/>
      <c r="B25" s="1"/>
      <c r="C25" s="6" t="s">
        <v>216</v>
      </c>
      <c r="D25" s="93" t="s">
        <v>79</v>
      </c>
      <c r="E25" s="94"/>
      <c r="F25" s="94"/>
      <c r="G25" s="95"/>
      <c r="H25" s="1"/>
      <c r="I25" s="1"/>
    </row>
    <row r="26" spans="1:9" x14ac:dyDescent="0.25">
      <c r="A26" s="1"/>
      <c r="B26" s="1"/>
      <c r="C26" s="6" t="s">
        <v>217</v>
      </c>
      <c r="D26" s="93" t="s">
        <v>80</v>
      </c>
      <c r="E26" s="94"/>
      <c r="F26" s="94"/>
      <c r="G26" s="95"/>
      <c r="H26" s="1"/>
      <c r="I26" s="1"/>
    </row>
    <row r="27" spans="1:9" x14ac:dyDescent="0.25">
      <c r="A27" s="1"/>
      <c r="B27" s="1"/>
      <c r="C27" s="6" t="s">
        <v>97</v>
      </c>
      <c r="D27" s="93" t="s">
        <v>111</v>
      </c>
      <c r="E27" s="94"/>
      <c r="F27" s="94"/>
      <c r="G27" s="95"/>
      <c r="H27" s="1"/>
      <c r="I27" s="1"/>
    </row>
    <row r="28" spans="1:9" x14ac:dyDescent="0.25">
      <c r="A28" s="1"/>
      <c r="B28" s="1"/>
      <c r="C28" s="6" t="s">
        <v>91</v>
      </c>
      <c r="D28" s="93" t="s">
        <v>34</v>
      </c>
      <c r="E28" s="94"/>
      <c r="F28" s="94"/>
      <c r="G28" s="95"/>
      <c r="H28" s="1"/>
      <c r="I28" s="1"/>
    </row>
    <row r="29" spans="1:9" x14ac:dyDescent="0.25">
      <c r="A29" s="1"/>
      <c r="B29" s="1"/>
      <c r="C29" s="6" t="s">
        <v>218</v>
      </c>
      <c r="D29" s="101" t="s">
        <v>92</v>
      </c>
      <c r="E29" s="102"/>
      <c r="F29" s="102"/>
      <c r="G29" s="10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H7KVPQV/iPwcEyNrYbzxN/5XOZbckPn5MJiwRXQmE3/uTTHHTqiaSfm4OrgTOmGNCUj1MKdZIcBVcJocH91g7A==" saltValue="5ehQuodMb7M93yFXX5Y7W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6" t="s">
        <v>181</v>
      </c>
      <c r="C8" s="127"/>
      <c r="D8" s="128"/>
      <c r="E8" s="1"/>
      <c r="F8" s="1"/>
    </row>
    <row r="9" spans="1:6" ht="15" customHeight="1" x14ac:dyDescent="0.25">
      <c r="A9" s="1"/>
      <c r="B9" s="33" t="s">
        <v>30</v>
      </c>
      <c r="C9" s="11" t="s">
        <v>212</v>
      </c>
      <c r="D9" s="11"/>
      <c r="E9" s="1"/>
      <c r="F9" s="1"/>
    </row>
    <row r="10" spans="1:6" x14ac:dyDescent="0.25">
      <c r="A10" s="1"/>
      <c r="B10" s="79" t="s">
        <v>231</v>
      </c>
      <c r="C10" s="9">
        <v>20787934</v>
      </c>
      <c r="D10" s="14" t="s">
        <v>3</v>
      </c>
      <c r="E10" s="1"/>
      <c r="F10" s="1"/>
    </row>
    <row r="11" spans="1:6" x14ac:dyDescent="0.25">
      <c r="A11" s="1"/>
      <c r="B11" s="79" t="s">
        <v>232</v>
      </c>
      <c r="C11" s="9">
        <v>128485</v>
      </c>
      <c r="D11" s="14" t="s">
        <v>3</v>
      </c>
      <c r="E11" s="1"/>
      <c r="F11" s="1"/>
    </row>
    <row r="12" spans="1:6" x14ac:dyDescent="0.25">
      <c r="A12" s="1"/>
      <c r="B12" s="79" t="s">
        <v>233</v>
      </c>
      <c r="C12" s="9">
        <v>214124</v>
      </c>
      <c r="D12" s="14" t="s">
        <v>3</v>
      </c>
      <c r="E12" s="1"/>
      <c r="F12" s="1"/>
    </row>
    <row r="13" spans="1:6" x14ac:dyDescent="0.25">
      <c r="A13" s="1"/>
      <c r="B13" s="79" t="s">
        <v>234</v>
      </c>
      <c r="C13" s="9">
        <v>41797</v>
      </c>
      <c r="D13" s="14" t="s">
        <v>3</v>
      </c>
      <c r="E13" s="1"/>
      <c r="F13" s="1"/>
    </row>
    <row r="14" spans="1:6" x14ac:dyDescent="0.25">
      <c r="A14" s="1"/>
      <c r="B14" s="67" t="s">
        <v>182</v>
      </c>
      <c r="C14" s="12">
        <f>SUM(C10:C13)</f>
        <v>21172340</v>
      </c>
      <c r="D14" s="13" t="s">
        <v>3</v>
      </c>
      <c r="E14" s="1"/>
      <c r="F14" s="1"/>
    </row>
    <row r="15" spans="1:6" x14ac:dyDescent="0.25">
      <c r="A15" s="1"/>
      <c r="B15" s="67" t="s">
        <v>183</v>
      </c>
      <c r="C15" s="12">
        <f>C14*(1+'Fane 13. Nøgletal'!C15)^2</f>
        <v>22706643.584822401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sheetData>
  <sheetProtection algorithmName="SHA-512" hashValue="Pnz4FxEnr63h0bJ12LsTv8UHtGkhmzKQUWDO0tfx+IYOloRwGkQxNFuxSMWW+KjUOGl7mB0sBp2aErv+oBzulw==" saltValue="g4OgFuHoehteVC0zL/Fls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9" t="s">
        <v>184</v>
      </c>
      <c r="C3" s="129"/>
      <c r="D3" s="129"/>
      <c r="E3" s="129"/>
      <c r="F3" s="129"/>
      <c r="G3" s="1"/>
    </row>
    <row r="4" spans="1:7" ht="15" customHeight="1" x14ac:dyDescent="0.25">
      <c r="A4" s="1"/>
      <c r="B4" s="129"/>
      <c r="C4" s="129"/>
      <c r="D4" s="129"/>
      <c r="E4" s="129"/>
      <c r="F4" s="129"/>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6" t="s">
        <v>155</v>
      </c>
      <c r="C8" s="127"/>
      <c r="D8" s="127"/>
      <c r="E8" s="127"/>
      <c r="F8" s="128"/>
      <c r="G8" s="1"/>
    </row>
    <row r="9" spans="1:7" x14ac:dyDescent="0.25">
      <c r="A9" s="1"/>
      <c r="B9" s="133" t="s">
        <v>156</v>
      </c>
      <c r="C9" s="134"/>
      <c r="D9" s="135"/>
      <c r="E9" s="9">
        <v>8627211</v>
      </c>
      <c r="F9" s="14" t="s">
        <v>3</v>
      </c>
      <c r="G9" s="1"/>
    </row>
    <row r="10" spans="1:7" x14ac:dyDescent="0.25">
      <c r="A10" s="1"/>
      <c r="B10" s="148" t="s">
        <v>235</v>
      </c>
      <c r="C10" s="149"/>
      <c r="D10" s="150"/>
      <c r="E10" s="9">
        <v>8627211</v>
      </c>
      <c r="F10" s="54" t="s">
        <v>3</v>
      </c>
      <c r="G10" s="1"/>
    </row>
    <row r="11" spans="1:7" x14ac:dyDescent="0.25">
      <c r="A11" s="1"/>
      <c r="B11" s="133" t="s">
        <v>185</v>
      </c>
      <c r="C11" s="134"/>
      <c r="D11" s="135"/>
      <c r="E11" s="9">
        <v>11514231.86588601</v>
      </c>
      <c r="F11" s="14" t="s">
        <v>3</v>
      </c>
      <c r="G11" s="1"/>
    </row>
    <row r="12" spans="1:7" x14ac:dyDescent="0.25">
      <c r="A12" s="1"/>
      <c r="B12" s="67"/>
      <c r="C12" s="68"/>
      <c r="D12" s="68"/>
      <c r="E12" s="68"/>
      <c r="F12" s="19"/>
      <c r="G12" s="1"/>
    </row>
    <row r="13" spans="1:7" ht="64.900000000000006" customHeight="1" x14ac:dyDescent="0.25">
      <c r="A13" s="1"/>
      <c r="B13" s="109" t="s">
        <v>252</v>
      </c>
      <c r="C13" s="110"/>
      <c r="D13" s="110"/>
      <c r="E13" s="110"/>
      <c r="F13" s="111"/>
      <c r="G13" s="1"/>
    </row>
    <row r="14" spans="1:7" ht="27" customHeight="1" x14ac:dyDescent="0.25">
      <c r="A14" s="1"/>
      <c r="B14" s="1"/>
      <c r="C14" s="1"/>
      <c r="D14" s="1"/>
      <c r="E14" s="1"/>
      <c r="F14" s="1"/>
      <c r="G14" s="1"/>
    </row>
    <row r="15" spans="1:7" ht="28.5" customHeight="1" x14ac:dyDescent="0.25">
      <c r="A15" s="1"/>
      <c r="B15" s="126" t="s">
        <v>157</v>
      </c>
      <c r="C15" s="127"/>
      <c r="D15" s="127"/>
      <c r="E15" s="127"/>
      <c r="F15" s="128"/>
      <c r="G15" s="1"/>
    </row>
    <row r="16" spans="1:7" x14ac:dyDescent="0.25">
      <c r="A16" s="1"/>
      <c r="B16" s="133" t="s">
        <v>236</v>
      </c>
      <c r="C16" s="134"/>
      <c r="D16" s="135"/>
      <c r="E16" s="9">
        <v>0</v>
      </c>
      <c r="F16" s="14" t="s">
        <v>3</v>
      </c>
      <c r="G16" s="1"/>
    </row>
    <row r="17" spans="1:7" x14ac:dyDescent="0.25">
      <c r="A17" s="1"/>
      <c r="B17" s="133" t="s">
        <v>237</v>
      </c>
      <c r="C17" s="134"/>
      <c r="D17" s="135"/>
      <c r="E17" s="9">
        <v>0</v>
      </c>
      <c r="F17" s="14" t="s">
        <v>3</v>
      </c>
      <c r="G17" s="1"/>
    </row>
    <row r="18" spans="1:7" x14ac:dyDescent="0.25">
      <c r="A18" s="1"/>
      <c r="B18" s="67"/>
      <c r="C18" s="68"/>
      <c r="D18" s="68"/>
      <c r="E18" s="68"/>
      <c r="F18" s="19"/>
      <c r="G18" s="1"/>
    </row>
    <row r="19" spans="1:7" ht="31.5" customHeight="1" x14ac:dyDescent="0.25">
      <c r="A19" s="1"/>
      <c r="B19" s="109" t="s">
        <v>158</v>
      </c>
      <c r="C19" s="110"/>
      <c r="D19" s="110"/>
      <c r="E19" s="110"/>
      <c r="F19" s="111"/>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238</v>
      </c>
      <c r="C22" s="77"/>
      <c r="D22" s="78"/>
      <c r="E22" s="9">
        <v>54931687.491141133</v>
      </c>
      <c r="F22" s="14" t="s">
        <v>3</v>
      </c>
      <c r="G22" s="1"/>
    </row>
    <row r="23" spans="1:7" x14ac:dyDescent="0.25">
      <c r="A23" s="1"/>
      <c r="B23" s="76" t="s">
        <v>187</v>
      </c>
      <c r="C23" s="77"/>
      <c r="D23" s="78"/>
      <c r="E23" s="9">
        <v>43138890</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11792797.491141133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6" t="s">
        <v>239</v>
      </c>
      <c r="C28" s="127"/>
      <c r="D28" s="127"/>
      <c r="E28" s="127"/>
      <c r="F28" s="128"/>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C1KeuHKJFAtMl+HTzfs/rmWnX1SA3gVoVseaKd/987STqrDF3Pw32Wz4HoPBdH4DJUjphSgT45DM/Nr7dOYQXg==" saltValue="Q3CY/QcK8367C4+0EvpkW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6" t="s">
        <v>227</v>
      </c>
      <c r="C8" s="127"/>
      <c r="D8" s="127"/>
      <c r="E8" s="127"/>
      <c r="F8" s="127"/>
      <c r="G8" s="127"/>
      <c r="H8" s="128"/>
      <c r="I8" s="1"/>
    </row>
    <row r="9" spans="1:9" ht="15" customHeight="1" x14ac:dyDescent="0.25">
      <c r="A9" s="1"/>
      <c r="B9" s="118" t="s">
        <v>228</v>
      </c>
      <c r="C9" s="119"/>
      <c r="D9" s="119"/>
      <c r="E9" s="119"/>
      <c r="F9" s="119"/>
      <c r="G9" s="119"/>
      <c r="H9" s="120"/>
      <c r="I9" s="1"/>
    </row>
    <row r="10" spans="1:9" x14ac:dyDescent="0.25">
      <c r="A10" s="1"/>
      <c r="B10" s="154" t="s">
        <v>244</v>
      </c>
      <c r="C10" s="155"/>
      <c r="D10" s="155"/>
      <c r="E10" s="155"/>
      <c r="F10" s="156"/>
      <c r="G10" s="56">
        <v>0</v>
      </c>
      <c r="H10" s="9" t="s">
        <v>3</v>
      </c>
      <c r="I10" s="1"/>
    </row>
    <row r="11" spans="1:9" x14ac:dyDescent="0.25">
      <c r="A11" s="1"/>
      <c r="B11" s="154" t="s">
        <v>245</v>
      </c>
      <c r="C11" s="155"/>
      <c r="D11" s="155"/>
      <c r="E11" s="155"/>
      <c r="F11" s="156"/>
      <c r="G11" s="56">
        <v>0</v>
      </c>
      <c r="H11" s="9" t="s">
        <v>3</v>
      </c>
      <c r="I11" s="1"/>
    </row>
    <row r="12" spans="1:9" x14ac:dyDescent="0.25">
      <c r="A12" s="1"/>
      <c r="B12" s="154" t="s">
        <v>246</v>
      </c>
      <c r="C12" s="155"/>
      <c r="D12" s="155"/>
      <c r="E12" s="155"/>
      <c r="F12" s="156"/>
      <c r="G12" s="9">
        <v>0</v>
      </c>
      <c r="H12" s="9" t="s">
        <v>3</v>
      </c>
      <c r="I12" s="1"/>
    </row>
    <row r="13" spans="1:9" x14ac:dyDescent="0.25">
      <c r="A13" s="1"/>
      <c r="B13" s="154" t="s">
        <v>247</v>
      </c>
      <c r="C13" s="155"/>
      <c r="D13" s="155"/>
      <c r="E13" s="155"/>
      <c r="F13" s="156"/>
      <c r="G13" s="9">
        <v>0</v>
      </c>
      <c r="H13" s="9" t="s">
        <v>3</v>
      </c>
      <c r="I13" s="1"/>
    </row>
    <row r="14" spans="1:9" x14ac:dyDescent="0.25">
      <c r="A14" s="1"/>
      <c r="B14" s="154" t="s">
        <v>248</v>
      </c>
      <c r="C14" s="155"/>
      <c r="D14" s="155"/>
      <c r="E14" s="155"/>
      <c r="F14" s="156"/>
      <c r="G14" s="9">
        <v>0</v>
      </c>
      <c r="H14" s="9" t="s">
        <v>3</v>
      </c>
      <c r="I14" s="1"/>
    </row>
    <row r="15" spans="1:9" x14ac:dyDescent="0.25">
      <c r="A15" s="1"/>
      <c r="B15" s="154" t="s">
        <v>249</v>
      </c>
      <c r="C15" s="155"/>
      <c r="D15" s="155"/>
      <c r="E15" s="155"/>
      <c r="F15" s="156"/>
      <c r="G15" s="9">
        <v>0</v>
      </c>
      <c r="H15" s="9" t="s">
        <v>3</v>
      </c>
      <c r="I15" s="1"/>
    </row>
    <row r="16" spans="1:9" x14ac:dyDescent="0.25">
      <c r="A16" s="1"/>
      <c r="B16" s="154" t="s">
        <v>250</v>
      </c>
      <c r="C16" s="155"/>
      <c r="D16" s="155"/>
      <c r="E16" s="155"/>
      <c r="F16" s="156"/>
      <c r="G16" s="9">
        <v>0</v>
      </c>
      <c r="H16" s="9" t="s">
        <v>3</v>
      </c>
      <c r="I16" s="1"/>
    </row>
    <row r="17" spans="1:9" x14ac:dyDescent="0.25">
      <c r="A17" s="1"/>
      <c r="B17" s="154" t="s">
        <v>251</v>
      </c>
      <c r="C17" s="155"/>
      <c r="D17" s="155"/>
      <c r="E17" s="155"/>
      <c r="F17" s="156"/>
      <c r="G17" s="9">
        <v>0</v>
      </c>
      <c r="H17" s="9" t="s">
        <v>3</v>
      </c>
      <c r="I17" s="1"/>
    </row>
    <row r="18" spans="1:9" x14ac:dyDescent="0.25">
      <c r="A18" s="1"/>
      <c r="B18" s="126" t="s">
        <v>229</v>
      </c>
      <c r="C18" s="127"/>
      <c r="D18" s="127"/>
      <c r="E18" s="127"/>
      <c r="F18" s="12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bAtaqnqoYnU3jshM7RDTP9DsiK0s3TrgtPcU6j/h4e2xRjJQJ6VCykCha8pELgdQOZQtgfGuzDuYOZGg1FOBzA==" saltValue="LlLoprGWNTxAZ7t0kIPh4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1.42578125" style="2" customWidth="1"/>
    <col min="2" max="2" width="24"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285156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6" t="s">
        <v>192</v>
      </c>
      <c r="C8" s="127"/>
      <c r="D8" s="127"/>
      <c r="E8" s="127"/>
      <c r="F8" s="127"/>
      <c r="G8" s="127"/>
      <c r="H8" s="127"/>
      <c r="I8" s="127"/>
      <c r="J8" s="127"/>
      <c r="K8" s="128"/>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55"/>
      <c r="B46" s="55"/>
      <c r="C46" s="55"/>
      <c r="D46" s="55"/>
      <c r="E46" s="55"/>
      <c r="F46" s="55"/>
      <c r="G46" s="55"/>
      <c r="H46" s="55"/>
      <c r="I46" s="55"/>
      <c r="J46" s="55"/>
      <c r="K46" s="55"/>
      <c r="L46" s="55"/>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qX9zGBfbCysq09ivvwi7ZMnyb/Wrd4M+9Lu9gwPrmiJCa3d+nkC27G5HDf20KvdxhMeJXER4Lu38Ladm7VolDw==" saltValue="fT1G05b12QdY0E73/CYBO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240</v>
      </c>
      <c r="C11" s="21">
        <v>0</v>
      </c>
      <c r="D11" s="14" t="s">
        <v>3</v>
      </c>
      <c r="E11" s="9">
        <v>0</v>
      </c>
      <c r="F11" s="14" t="s">
        <v>3</v>
      </c>
      <c r="G11" s="1"/>
    </row>
    <row r="12" spans="1:7" x14ac:dyDescent="0.25">
      <c r="A12" s="1"/>
      <c r="B12" s="67" t="s">
        <v>148</v>
      </c>
      <c r="C12" s="12">
        <f>SUM(C10:C11)</f>
        <v>0</v>
      </c>
      <c r="D12" s="13" t="s">
        <v>3</v>
      </c>
      <c r="E12" s="12">
        <f>SUM(E10:E11)</f>
        <v>0</v>
      </c>
      <c r="F12" s="13" t="s">
        <v>3</v>
      </c>
      <c r="G12" s="1"/>
    </row>
    <row r="13" spans="1:7" x14ac:dyDescent="0.25">
      <c r="A13" s="1"/>
      <c r="B13" s="67"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PTI8b42jHovlwUEXjssQEjAxJ2upuogqakjYBI0iPFB2iaNDLNCYTpNsv6ywWtRT+hiEdP6bfhtLKyToy9WRw==" saltValue="TSQVJwNDhDZJk8FBlGrnX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6" t="s">
        <v>88</v>
      </c>
      <c r="C9" s="127"/>
      <c r="D9" s="127"/>
      <c r="E9" s="127"/>
      <c r="F9" s="128"/>
      <c r="G9" s="1"/>
    </row>
    <row r="10" spans="1:7" ht="26.25" x14ac:dyDescent="0.25">
      <c r="A10" s="1"/>
      <c r="B10" s="65" t="s">
        <v>15</v>
      </c>
      <c r="C10" s="65" t="s">
        <v>10</v>
      </c>
      <c r="D10" s="66"/>
      <c r="E10" s="65" t="s">
        <v>29</v>
      </c>
      <c r="F10" s="70"/>
      <c r="G10" s="1"/>
    </row>
    <row r="11" spans="1:7" x14ac:dyDescent="0.25">
      <c r="A11" s="1"/>
      <c r="B11" s="22" t="s">
        <v>241</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qCJqLqrGfxEsAOXB/UvG/gBQd1zp8AEXG7klqEjHUN/gl5UUT+I1YAGrkr3xUaLPfYHIaGzL6/310LU6WZufA==" saltValue="iF1jz9mciiU/7Z24SWffA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223</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112</v>
      </c>
      <c r="C8" s="127"/>
      <c r="D8" s="127"/>
      <c r="E8" s="127"/>
      <c r="F8" s="128"/>
      <c r="G8" s="1"/>
    </row>
    <row r="9" spans="1:7" ht="15" customHeight="1" x14ac:dyDescent="0.25">
      <c r="A9" s="1"/>
      <c r="B9" s="69" t="s">
        <v>113</v>
      </c>
      <c r="C9" s="118" t="s">
        <v>10</v>
      </c>
      <c r="D9" s="120"/>
      <c r="E9" s="118" t="s">
        <v>29</v>
      </c>
      <c r="F9" s="120"/>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z4qFGsjv53DT5cc27xe2N2mQg/5r5Q1+Axil5qg+x19NJjPsD7rkxl0MueSmv++XDaIl4c22L6ys3Wa01qNhA==" saltValue="oJRAky+Cp/kv+XglJ3MyF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3.28515625" style="2" customWidth="1"/>
    <col min="2" max="2" width="36.28515625" style="2" customWidth="1"/>
    <col min="3" max="3" width="17" style="2" customWidth="1"/>
    <col min="4" max="4" width="3.28515625" style="2" customWidth="1"/>
    <col min="5" max="5" width="17.85546875" style="2" customWidth="1"/>
    <col min="6" max="7" width="3.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224</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6" t="s">
        <v>85</v>
      </c>
      <c r="C10" s="127"/>
      <c r="D10" s="127"/>
      <c r="E10" s="127"/>
      <c r="F10" s="128"/>
      <c r="G10" s="1"/>
    </row>
    <row r="11" spans="1:7" x14ac:dyDescent="0.25">
      <c r="A11" s="1"/>
      <c r="B11" s="69" t="s">
        <v>16</v>
      </c>
      <c r="C11" s="69" t="s">
        <v>10</v>
      </c>
      <c r="D11" s="70"/>
      <c r="E11" s="69" t="s">
        <v>29</v>
      </c>
      <c r="F11" s="70"/>
      <c r="G11" s="1"/>
    </row>
    <row r="12" spans="1:7" x14ac:dyDescent="0.25">
      <c r="A12" s="1"/>
      <c r="B12" s="22" t="s">
        <v>243</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1AXsJCXqmmjJnkvCaaIv7gQ753AvfdmbpUxHYequH/ugTYikRzaJUPHktnt/gZY4ZhL58GelUhPgi0z38DH/cQ==" saltValue="zRcq8N5vA6Sqoos+a1hf4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9" t="s">
        <v>225</v>
      </c>
      <c r="C3" s="129"/>
      <c r="D3" s="1"/>
    </row>
    <row r="4" spans="1:4" ht="25.5" customHeight="1" x14ac:dyDescent="0.25">
      <c r="A4" s="1"/>
      <c r="B4" s="129"/>
      <c r="C4" s="12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6"/>
      <c r="C16" s="128"/>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55"/>
      <c r="B49" s="55"/>
      <c r="C49" s="88"/>
      <c r="D49" s="55"/>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CUKDaqpLRht+j6ZRdh/VKC+UIycWMHQjUQcVQIzDtujzivEvGG3UQUaVVJKSvgsIoj/tXllVPOolcS9/3dwEZg==" saltValue="AhsbkvQlO3wcCu9uEuK0i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32107749.503091801</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1143035.882310068</v>
      </c>
      <c r="D15" s="8" t="s">
        <v>3</v>
      </c>
      <c r="E15" s="1"/>
    </row>
    <row r="16" spans="1:5" ht="17.25" customHeight="1" x14ac:dyDescent="0.25">
      <c r="A16" s="1"/>
      <c r="B16" s="23" t="s">
        <v>9</v>
      </c>
      <c r="C16" s="9">
        <f>-SUM(C8,C9:C15)*'Fane 5. Individuelt eff. krav'!G9</f>
        <v>-330043.61918558663</v>
      </c>
      <c r="D16" s="8" t="s">
        <v>3</v>
      </c>
      <c r="E16" s="1"/>
    </row>
    <row r="17" spans="1:5" ht="17.25" customHeight="1" x14ac:dyDescent="0.25">
      <c r="A17" s="1"/>
      <c r="B17" s="23" t="s">
        <v>23</v>
      </c>
      <c r="C17" s="9">
        <f>-'Fane 4.1. Gen. krav - drift'!G43</f>
        <v>-267931.53290821321</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32652810.233308069</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omk.'!C15</f>
        <v>22706643.584822401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0</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55359453.818130471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q8U3lLPt5wU1NxQOYfhTcLtz5F5w6kRXCtc+T+Fv7fkATsNevUTILUPpkCzYiSmxOb8mJYspsRVkH7TddOBNQ==" saltValue="eOMapGnRv05n5G6FQFBhZ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32652810.233308069</v>
      </c>
      <c r="D8" s="8" t="s">
        <v>3</v>
      </c>
      <c r="E8" s="1"/>
    </row>
    <row r="9" spans="1:5" ht="15" customHeight="1" x14ac:dyDescent="0.25">
      <c r="A9" s="1"/>
      <c r="B9" s="64" t="s">
        <v>17</v>
      </c>
      <c r="C9" s="9">
        <f>SUM(C8:C8)*'Fane 13. Nøgletal'!C15</f>
        <v>1162440.0443057672</v>
      </c>
      <c r="D9" s="8" t="s">
        <v>3</v>
      </c>
      <c r="E9" s="1"/>
    </row>
    <row r="10" spans="1:5" ht="15" customHeight="1" x14ac:dyDescent="0.25">
      <c r="A10" s="1"/>
      <c r="B10" s="64" t="s">
        <v>9</v>
      </c>
      <c r="C10" s="9">
        <f>-SUM(C8:C9)*'Fane 5. Individuelt eff. krav'!G9</f>
        <v>-335646.43529261998</v>
      </c>
      <c r="D10" s="8" t="s">
        <v>3</v>
      </c>
      <c r="E10" s="1"/>
    </row>
    <row r="11" spans="1:5" ht="15" customHeight="1" x14ac:dyDescent="0.25">
      <c r="A11" s="1"/>
      <c r="B11" s="64" t="s">
        <v>23</v>
      </c>
      <c r="C11" s="9">
        <f>-'Fane 4.1. Gen. krav - drift'!G48</f>
        <v>-271920.49757015071</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33207683.344751064</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f>
        <v>23515000.096442081</v>
      </c>
      <c r="D15" s="11" t="s">
        <v>3</v>
      </c>
      <c r="E15" s="1"/>
    </row>
    <row r="16" spans="1:5" x14ac:dyDescent="0.25">
      <c r="A16" s="1"/>
      <c r="B16" s="25" t="s">
        <v>128</v>
      </c>
      <c r="C16" s="68"/>
      <c r="D16" s="19"/>
      <c r="E16" s="1"/>
    </row>
    <row r="17" spans="1:5" ht="15" customHeight="1" x14ac:dyDescent="0.25">
      <c r="A17" s="1"/>
      <c r="B17" s="80" t="s">
        <v>129</v>
      </c>
      <c r="C17" s="10">
        <f>'Fane 7. Kontrol af ØR2021'!E31</f>
        <v>0</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56722683.441193148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Mq8LW1VGuxdpbaPpM8abG3NwX3tnNjYTyM8NbScYhjcS2u8WLVTIAwPm6YS7j6HHNRknvko0RUCovp8S/M1XVQ==" saltValue="Dz89jvLiPojqxBuMMjvY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33207683.344751064</v>
      </c>
      <c r="D8" s="8" t="s">
        <v>3</v>
      </c>
      <c r="E8" s="1"/>
    </row>
    <row r="9" spans="1:5" ht="15" customHeight="1" x14ac:dyDescent="0.25">
      <c r="A9" s="1"/>
      <c r="B9" s="64" t="s">
        <v>17</v>
      </c>
      <c r="C9" s="9">
        <f>SUM(C8:C8)*'Fane 13. Nøgletal'!C15</f>
        <v>1182193.5270731379</v>
      </c>
      <c r="D9" s="8" t="s">
        <v>3</v>
      </c>
      <c r="E9" s="1"/>
    </row>
    <row r="10" spans="1:5" ht="15" customHeight="1" x14ac:dyDescent="0.25">
      <c r="A10" s="1"/>
      <c r="B10" s="64" t="s">
        <v>9</v>
      </c>
      <c r="C10" s="9">
        <f>-SUM(C8:C9)*'Fane 5. Individuelt eff. krav'!G9</f>
        <v>-341350.11533010693</v>
      </c>
      <c r="D10" s="8" t="s">
        <v>3</v>
      </c>
      <c r="E10" s="1"/>
    </row>
    <row r="11" spans="1:5" ht="15" customHeight="1" x14ac:dyDescent="0.25">
      <c r="A11" s="1"/>
      <c r="B11" s="64" t="s">
        <v>23</v>
      </c>
      <c r="C11" s="9">
        <f>-'Fane 4.1. Gen. krav - drift'!G53</f>
        <v>-275968.84993797512</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33772557.906556122</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Nøgletal'!C15)^2</f>
        <v>24352134.09987542</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58124692.006431542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8dWGIkR3+9W5mBUwSMYLEVgZCicgNNCzYkwJyfn8TZPe8M4fz54LaOPp2cjqzIq7h9EJx1vN0yH8rGsgBJPlgQ==" saltValue="hsHy6QWmYgcJfsCF734va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33772557.906556122</v>
      </c>
      <c r="D8" s="8" t="s">
        <v>3</v>
      </c>
      <c r="E8" s="1"/>
    </row>
    <row r="9" spans="1:5" ht="15" customHeight="1" x14ac:dyDescent="0.25">
      <c r="A9" s="1"/>
      <c r="B9" s="64" t="s">
        <v>17</v>
      </c>
      <c r="C9" s="9">
        <f>SUM(C8:C8)*'Fane 13. Nøgletal'!C15</f>
        <v>1202303.061473398</v>
      </c>
      <c r="D9" s="8" t="s">
        <v>3</v>
      </c>
      <c r="E9" s="1"/>
    </row>
    <row r="10" spans="1:5" ht="15" customHeight="1" x14ac:dyDescent="0.25">
      <c r="A10" s="1"/>
      <c r="B10" s="64" t="s">
        <v>9</v>
      </c>
      <c r="C10" s="9">
        <f>-SUM(C8:C9)*'Fane 5. Individuelt eff. krav'!G9</f>
        <v>-347156.6027871634</v>
      </c>
      <c r="D10" s="8" t="s">
        <v>3</v>
      </c>
      <c r="E10" s="1"/>
    </row>
    <row r="11" spans="1:5" ht="15" customHeight="1" x14ac:dyDescent="0.25">
      <c r="A11" s="1"/>
      <c r="B11" s="64" t="s">
        <v>23</v>
      </c>
      <c r="C11" s="9">
        <f>-'Fane 4.1. Gen. krav - drift'!G58</f>
        <v>-280077.47417585168</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34347626.891066507</v>
      </c>
      <c r="D13" s="11" t="s">
        <v>3</v>
      </c>
      <c r="E13" s="1"/>
    </row>
    <row r="14" spans="1:5" x14ac:dyDescent="0.25">
      <c r="A14" s="1"/>
      <c r="B14" s="67" t="s">
        <v>11</v>
      </c>
      <c r="C14" s="68"/>
      <c r="D14" s="19"/>
      <c r="E14" s="1"/>
    </row>
    <row r="15" spans="1:5" ht="15" customHeight="1" x14ac:dyDescent="0.25">
      <c r="A15" s="1"/>
      <c r="B15" s="69" t="s">
        <v>11</v>
      </c>
      <c r="C15" s="10">
        <f>'Fane 6. Ikke-påvirkelige omk.'!C15*(1+'Fane 13. Nøgletal'!C15)^3</f>
        <v>25219070.073830985</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59566696.964897491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QS3cXxJfB3nJWzSkur+UmlZ+KzHYzRh2GZP9pnJ9bPHJKvxiN/KgpfvpJpaKx52c5M0QN0yeH6HTr9jwIZsCSA==" saltValue="+p4XVtyR8Md7butNx8hy9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171</v>
      </c>
      <c r="C3" s="129"/>
      <c r="D3" s="129"/>
      <c r="E3" s="129"/>
      <c r="F3" s="129"/>
      <c r="G3" s="1"/>
    </row>
    <row r="4" spans="1:7" ht="29.2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30" t="s">
        <v>22</v>
      </c>
      <c r="C9" s="131"/>
      <c r="D9" s="132"/>
      <c r="E9" s="7">
        <v>32921248.411234934</v>
      </c>
      <c r="F9" s="8" t="s">
        <v>3</v>
      </c>
      <c r="G9" s="1"/>
    </row>
    <row r="10" spans="1:7" ht="15" customHeight="1" x14ac:dyDescent="0.25">
      <c r="A10" s="1"/>
      <c r="B10" s="112" t="s">
        <v>35</v>
      </c>
      <c r="C10" s="113"/>
      <c r="D10" s="114"/>
      <c r="E10" s="9">
        <v>0</v>
      </c>
      <c r="F10" s="8" t="s">
        <v>3</v>
      </c>
      <c r="G10" s="1"/>
    </row>
    <row r="11" spans="1:7" ht="15" customHeight="1" x14ac:dyDescent="0.25">
      <c r="A11" s="1"/>
      <c r="B11" s="112" t="s">
        <v>36</v>
      </c>
      <c r="C11" s="113"/>
      <c r="D11" s="114"/>
      <c r="E11" s="9">
        <v>10592.841400000001</v>
      </c>
      <c r="F11" s="8" t="s">
        <v>3</v>
      </c>
      <c r="G11" s="1"/>
    </row>
    <row r="12" spans="1:7" x14ac:dyDescent="0.25">
      <c r="A12" s="1"/>
      <c r="B12" s="112" t="s">
        <v>26</v>
      </c>
      <c r="C12" s="113"/>
      <c r="D12" s="114"/>
      <c r="E12" s="9">
        <v>0</v>
      </c>
      <c r="F12" s="8" t="s">
        <v>3</v>
      </c>
      <c r="G12" s="1"/>
    </row>
    <row r="13" spans="1:7" x14ac:dyDescent="0.25">
      <c r="A13" s="1"/>
      <c r="B13" s="112" t="s">
        <v>25</v>
      </c>
      <c r="C13" s="113"/>
      <c r="D13" s="114"/>
      <c r="E13" s="9">
        <v>0</v>
      </c>
      <c r="F13" s="8" t="s">
        <v>3</v>
      </c>
      <c r="G13" s="1"/>
    </row>
    <row r="14" spans="1:7" x14ac:dyDescent="0.25">
      <c r="A14" s="1"/>
      <c r="B14" s="112" t="s">
        <v>114</v>
      </c>
      <c r="C14" s="113"/>
      <c r="D14" s="114"/>
      <c r="E14" s="9">
        <v>0</v>
      </c>
      <c r="F14" s="8" t="s">
        <v>3</v>
      </c>
      <c r="G14" s="1"/>
    </row>
    <row r="15" spans="1:7" x14ac:dyDescent="0.25">
      <c r="A15" s="1"/>
      <c r="B15" s="112" t="s">
        <v>115</v>
      </c>
      <c r="C15" s="113"/>
      <c r="D15" s="114"/>
      <c r="E15" s="9">
        <v>0</v>
      </c>
      <c r="F15" s="8" t="s">
        <v>3</v>
      </c>
      <c r="G15" s="1"/>
    </row>
    <row r="16" spans="1:7" x14ac:dyDescent="0.25">
      <c r="A16" s="1"/>
      <c r="B16" s="112" t="s">
        <v>17</v>
      </c>
      <c r="C16" s="113"/>
      <c r="D16" s="114"/>
      <c r="E16" s="9">
        <v>401674.18699368619</v>
      </c>
      <c r="F16" s="8" t="s">
        <v>3</v>
      </c>
      <c r="G16" s="30"/>
    </row>
    <row r="17" spans="1:7" x14ac:dyDescent="0.25">
      <c r="A17" s="1"/>
      <c r="B17" s="112" t="s">
        <v>9</v>
      </c>
      <c r="C17" s="113"/>
      <c r="D17" s="114"/>
      <c r="E17" s="9">
        <v>-379611.90608564595</v>
      </c>
      <c r="F17" s="8" t="s">
        <v>3</v>
      </c>
      <c r="G17" s="1"/>
    </row>
    <row r="18" spans="1:7" x14ac:dyDescent="0.25">
      <c r="A18" s="1"/>
      <c r="B18" s="112" t="s">
        <v>23</v>
      </c>
      <c r="C18" s="113"/>
      <c r="D18" s="114"/>
      <c r="E18" s="9">
        <v>-264001.08475833124</v>
      </c>
      <c r="F18" s="8" t="s">
        <v>3</v>
      </c>
      <c r="G18" s="1"/>
    </row>
    <row r="19" spans="1:7" x14ac:dyDescent="0.25">
      <c r="A19" s="1"/>
      <c r="B19" s="112" t="s">
        <v>24</v>
      </c>
      <c r="C19" s="113"/>
      <c r="D19" s="114"/>
      <c r="E19" s="9">
        <v>-582152.94569283945</v>
      </c>
      <c r="F19" s="8" t="s">
        <v>3</v>
      </c>
      <c r="G19" s="1"/>
    </row>
    <row r="20" spans="1:7" x14ac:dyDescent="0.25">
      <c r="A20" s="1"/>
      <c r="B20" s="115" t="s">
        <v>19</v>
      </c>
      <c r="C20" s="116"/>
      <c r="D20" s="117"/>
      <c r="E20" s="31">
        <f>SUM(E9:E19)</f>
        <v>32107749.503091801</v>
      </c>
      <c r="F20" s="34" t="s">
        <v>3</v>
      </c>
      <c r="G20" s="1"/>
    </row>
    <row r="21" spans="1:7" x14ac:dyDescent="0.25">
      <c r="A21" s="1"/>
      <c r="B21" s="82" t="s">
        <v>11</v>
      </c>
      <c r="C21" s="83"/>
      <c r="D21" s="83"/>
      <c r="E21" s="83"/>
      <c r="F21" s="19"/>
      <c r="G21" s="1"/>
    </row>
    <row r="22" spans="1:7" x14ac:dyDescent="0.25">
      <c r="A22" s="1"/>
      <c r="B22" s="123" t="s">
        <v>11</v>
      </c>
      <c r="C22" s="124"/>
      <c r="D22" s="125"/>
      <c r="E22" s="10">
        <v>20149275.828141943</v>
      </c>
      <c r="F22" s="11" t="s">
        <v>3</v>
      </c>
      <c r="G22" s="1"/>
    </row>
    <row r="23" spans="1:7" ht="15" customHeight="1" x14ac:dyDescent="0.25">
      <c r="A23" s="1"/>
      <c r="B23" s="121" t="s">
        <v>80</v>
      </c>
      <c r="C23" s="122"/>
      <c r="D23" s="122"/>
      <c r="E23" s="83"/>
      <c r="F23" s="19"/>
      <c r="G23" s="1"/>
    </row>
    <row r="24" spans="1:7" ht="14.25" customHeight="1" x14ac:dyDescent="0.25">
      <c r="A24" s="1"/>
      <c r="B24" s="109" t="s">
        <v>76</v>
      </c>
      <c r="C24" s="110"/>
      <c r="D24" s="111"/>
      <c r="E24" s="9">
        <v>0</v>
      </c>
      <c r="F24" s="8" t="s">
        <v>3</v>
      </c>
      <c r="G24" s="1"/>
    </row>
    <row r="25" spans="1:7" ht="14.25" customHeight="1" x14ac:dyDescent="0.25">
      <c r="A25" s="1"/>
      <c r="B25" s="109" t="s">
        <v>77</v>
      </c>
      <c r="C25" s="110"/>
      <c r="D25" s="111"/>
      <c r="E25" s="9">
        <v>0</v>
      </c>
      <c r="F25" s="8" t="s">
        <v>3</v>
      </c>
      <c r="G25" s="1"/>
    </row>
    <row r="26" spans="1:7" x14ac:dyDescent="0.25">
      <c r="A26" s="1"/>
      <c r="B26" s="118" t="s">
        <v>81</v>
      </c>
      <c r="C26" s="119"/>
      <c r="D26" s="119"/>
      <c r="E26" s="10">
        <v>0</v>
      </c>
      <c r="F26" s="11" t="s">
        <v>3</v>
      </c>
      <c r="G26" s="1"/>
    </row>
    <row r="27" spans="1:7" x14ac:dyDescent="0.25">
      <c r="A27" s="1"/>
      <c r="B27" s="82" t="s">
        <v>128</v>
      </c>
      <c r="C27" s="83"/>
      <c r="D27" s="83"/>
      <c r="E27" s="83"/>
      <c r="F27" s="19"/>
      <c r="G27" s="1"/>
    </row>
    <row r="28" spans="1:7" ht="15" customHeight="1" x14ac:dyDescent="0.25">
      <c r="A28" s="1"/>
      <c r="B28" s="118" t="s">
        <v>129</v>
      </c>
      <c r="C28" s="119"/>
      <c r="D28" s="120"/>
      <c r="E28" s="10">
        <v>0</v>
      </c>
      <c r="F28" s="11" t="s">
        <v>3</v>
      </c>
      <c r="G28" s="1"/>
    </row>
    <row r="29" spans="1:7" x14ac:dyDescent="0.25">
      <c r="A29" s="1"/>
      <c r="B29" s="82" t="s">
        <v>159</v>
      </c>
      <c r="C29" s="83"/>
      <c r="D29" s="83"/>
      <c r="E29" s="83"/>
      <c r="F29" s="19"/>
      <c r="G29" s="1"/>
    </row>
    <row r="30" spans="1:7" ht="15.75" customHeight="1" x14ac:dyDescent="0.25">
      <c r="A30" s="1"/>
      <c r="B30" s="123" t="s">
        <v>160</v>
      </c>
      <c r="C30" s="124"/>
      <c r="D30" s="125"/>
      <c r="E30" s="10">
        <v>0</v>
      </c>
      <c r="F30" s="11" t="s">
        <v>3</v>
      </c>
      <c r="G30" s="1"/>
    </row>
    <row r="31" spans="1:7" ht="15.75" customHeight="1" x14ac:dyDescent="0.25">
      <c r="A31" s="1"/>
      <c r="B31" s="126" t="s">
        <v>153</v>
      </c>
      <c r="C31" s="127"/>
      <c r="D31" s="127"/>
      <c r="E31" s="127"/>
      <c r="F31" s="128"/>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52257025.33123374</v>
      </c>
      <c r="F33" s="37" t="s">
        <v>3</v>
      </c>
      <c r="G33" s="1"/>
    </row>
    <row r="34" spans="1:7" ht="27.75" customHeight="1" x14ac:dyDescent="0.25">
      <c r="A34" s="1"/>
      <c r="B34" s="109" t="s">
        <v>173</v>
      </c>
      <c r="C34" s="110"/>
      <c r="D34" s="110"/>
      <c r="E34" s="110"/>
      <c r="F34" s="11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LynF9F70x1//eJgATQULpNOUbO6dy0JNpYstUGJLX9+TZqc9Ek2gvjb3omviwJqUWUEbPFWbWtJALrZ6QSQpQ==" saltValue="Su7VkuIe2CrtD7nLZna2f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1.85546875" style="2" customWidth="1"/>
    <col min="2" max="5" width="9" style="2"/>
    <col min="6" max="6" width="26.28515625" style="2" customWidth="1"/>
    <col min="7" max="7" width="13.28515625" style="43" customWidth="1"/>
    <col min="8" max="8" width="3.7109375" style="2" customWidth="1"/>
    <col min="9" max="9" width="1.85546875" style="2" customWidth="1"/>
    <col min="10" max="16384" width="9" style="2"/>
  </cols>
  <sheetData>
    <row r="1" spans="1:9" ht="15" customHeight="1" x14ac:dyDescent="0.25">
      <c r="A1" s="1"/>
      <c r="B1" s="129" t="s">
        <v>98</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29"/>
      <c r="C3" s="129"/>
      <c r="D3" s="129"/>
      <c r="E3" s="129"/>
      <c r="F3" s="129"/>
      <c r="G3" s="129"/>
      <c r="H3" s="129"/>
      <c r="I3" s="1"/>
    </row>
    <row r="4" spans="1:9" x14ac:dyDescent="0.25">
      <c r="A4" s="1"/>
      <c r="B4" s="126" t="s">
        <v>49</v>
      </c>
      <c r="C4" s="127"/>
      <c r="D4" s="127"/>
      <c r="E4" s="127"/>
      <c r="F4" s="127"/>
      <c r="G4" s="127"/>
      <c r="H4" s="128"/>
      <c r="I4" s="1"/>
    </row>
    <row r="5" spans="1:9" x14ac:dyDescent="0.25">
      <c r="A5" s="1"/>
      <c r="B5" s="133" t="s">
        <v>38</v>
      </c>
      <c r="C5" s="134"/>
      <c r="D5" s="134"/>
      <c r="E5" s="134"/>
      <c r="F5" s="135"/>
      <c r="G5" s="58">
        <v>13610540</v>
      </c>
      <c r="H5" s="14" t="s">
        <v>3</v>
      </c>
      <c r="I5" s="1"/>
    </row>
    <row r="6" spans="1:9" x14ac:dyDescent="0.25">
      <c r="A6" s="1"/>
      <c r="B6" s="133" t="s">
        <v>39</v>
      </c>
      <c r="C6" s="134"/>
      <c r="D6" s="134"/>
      <c r="E6" s="134"/>
      <c r="F6" s="135"/>
      <c r="G6" s="58">
        <f>G5*'Fane 13. Nøgletal'!C31</f>
        <v>272210.8</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6" t="s">
        <v>50</v>
      </c>
      <c r="C9" s="127"/>
      <c r="D9" s="127"/>
      <c r="E9" s="127"/>
      <c r="F9" s="127"/>
      <c r="G9" s="139"/>
      <c r="H9" s="128"/>
      <c r="I9" s="1"/>
    </row>
    <row r="10" spans="1:9" x14ac:dyDescent="0.25">
      <c r="A10" s="1"/>
      <c r="B10" s="133" t="s">
        <v>40</v>
      </c>
      <c r="C10" s="134"/>
      <c r="D10" s="134"/>
      <c r="E10" s="134"/>
      <c r="F10" s="135"/>
      <c r="G10" s="58">
        <f>(G5-G6)*(1+'Fane 13. Nøgletal'!C9)</f>
        <v>13507725.980839998</v>
      </c>
      <c r="H10" s="14" t="s">
        <v>3</v>
      </c>
      <c r="I10" s="1"/>
    </row>
    <row r="11" spans="1:9" x14ac:dyDescent="0.25">
      <c r="A11" s="1"/>
      <c r="B11" s="136" t="s">
        <v>41</v>
      </c>
      <c r="C11" s="137"/>
      <c r="D11" s="137"/>
      <c r="E11" s="137"/>
      <c r="F11" s="138"/>
      <c r="G11" s="58">
        <v>0</v>
      </c>
      <c r="H11" s="14" t="s">
        <v>3</v>
      </c>
      <c r="I11" s="1"/>
    </row>
    <row r="12" spans="1:9" x14ac:dyDescent="0.25">
      <c r="A12" s="1"/>
      <c r="B12" s="133" t="s">
        <v>42</v>
      </c>
      <c r="C12" s="134"/>
      <c r="D12" s="134"/>
      <c r="E12" s="134"/>
      <c r="F12" s="135"/>
      <c r="G12" s="58">
        <f>(G10+G11)*'Fane 13. Nøgletal'!C31</f>
        <v>270154.51961679995</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6" t="s">
        <v>51</v>
      </c>
      <c r="C15" s="127"/>
      <c r="D15" s="127"/>
      <c r="E15" s="127"/>
      <c r="F15" s="127"/>
      <c r="G15" s="139"/>
      <c r="H15" s="128"/>
      <c r="I15" s="1"/>
    </row>
    <row r="16" spans="1:9" x14ac:dyDescent="0.25">
      <c r="A16" s="1"/>
      <c r="B16" s="133" t="s">
        <v>43</v>
      </c>
      <c r="C16" s="134"/>
      <c r="D16" s="134"/>
      <c r="E16" s="134"/>
      <c r="F16" s="135"/>
      <c r="G16" s="58">
        <f>(G10+G11-G12)*(1+'Fane 13. Nøgletal'!C11)</f>
        <v>13461286.418917868</v>
      </c>
      <c r="H16" s="14" t="s">
        <v>3</v>
      </c>
      <c r="I16" s="1"/>
    </row>
    <row r="17" spans="1:9" x14ac:dyDescent="0.25">
      <c r="A17" s="1"/>
      <c r="B17" s="133" t="s">
        <v>108</v>
      </c>
      <c r="C17" s="134"/>
      <c r="D17" s="134"/>
      <c r="E17" s="134"/>
      <c r="F17" s="135"/>
      <c r="G17" s="58">
        <v>0.32224009438333751</v>
      </c>
      <c r="H17" s="14" t="s">
        <v>3</v>
      </c>
      <c r="I17" s="1"/>
    </row>
    <row r="18" spans="1:9" x14ac:dyDescent="0.25">
      <c r="A18" s="1"/>
      <c r="B18" s="136" t="s">
        <v>44</v>
      </c>
      <c r="C18" s="137"/>
      <c r="D18" s="137"/>
      <c r="E18" s="137"/>
      <c r="F18" s="138"/>
      <c r="G18" s="58">
        <v>0</v>
      </c>
      <c r="H18" s="14" t="s">
        <v>3</v>
      </c>
      <c r="I18" s="1"/>
    </row>
    <row r="19" spans="1:9" x14ac:dyDescent="0.25">
      <c r="A19" s="1"/>
      <c r="B19" s="133" t="s">
        <v>45</v>
      </c>
      <c r="C19" s="134"/>
      <c r="D19" s="134"/>
      <c r="E19" s="134"/>
      <c r="F19" s="135"/>
      <c r="G19" s="58">
        <f>SUM(G16:G18)*'Fane 13. Nøgletal'!C31</f>
        <v>269225.73482315923</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6" t="s">
        <v>52</v>
      </c>
      <c r="C22" s="127"/>
      <c r="D22" s="127"/>
      <c r="E22" s="127"/>
      <c r="F22" s="127"/>
      <c r="G22" s="139"/>
      <c r="H22" s="128"/>
      <c r="I22" s="1"/>
    </row>
    <row r="23" spans="1:9" x14ac:dyDescent="0.25">
      <c r="A23" s="1"/>
      <c r="B23" s="133" t="s">
        <v>46</v>
      </c>
      <c r="C23" s="134"/>
      <c r="D23" s="134"/>
      <c r="E23" s="134"/>
      <c r="F23" s="135"/>
      <c r="G23" s="58">
        <f>(SUM(G16:G18)-G19)*(1+'Fane 13. Nøgletal'!C11)</f>
        <v>13415006.83734186</v>
      </c>
      <c r="H23" s="14" t="s">
        <v>3</v>
      </c>
      <c r="I23" s="1"/>
    </row>
    <row r="24" spans="1:9" x14ac:dyDescent="0.25">
      <c r="A24" s="1"/>
      <c r="B24" s="136" t="s">
        <v>47</v>
      </c>
      <c r="C24" s="137"/>
      <c r="D24" s="137"/>
      <c r="E24" s="137"/>
      <c r="F24" s="138"/>
      <c r="G24" s="58">
        <v>0</v>
      </c>
      <c r="H24" s="14" t="s">
        <v>3</v>
      </c>
      <c r="I24" s="1"/>
    </row>
    <row r="25" spans="1:9" x14ac:dyDescent="0.25">
      <c r="A25" s="1"/>
      <c r="B25" s="133" t="s">
        <v>48</v>
      </c>
      <c r="C25" s="134"/>
      <c r="D25" s="134"/>
      <c r="E25" s="134"/>
      <c r="F25" s="135"/>
      <c r="G25" s="58">
        <f>(G23+G24)*'Fane 13. Nøgletal'!C31</f>
        <v>268300.13674683718</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6" t="s">
        <v>132</v>
      </c>
      <c r="C28" s="127"/>
      <c r="D28" s="127"/>
      <c r="E28" s="127"/>
      <c r="F28" s="127"/>
      <c r="G28" s="139"/>
      <c r="H28" s="128"/>
      <c r="I28" s="1"/>
    </row>
    <row r="29" spans="1:9" x14ac:dyDescent="0.25">
      <c r="A29" s="1"/>
      <c r="B29" s="133" t="s">
        <v>55</v>
      </c>
      <c r="C29" s="134"/>
      <c r="D29" s="134"/>
      <c r="E29" s="134"/>
      <c r="F29" s="135"/>
      <c r="G29" s="58">
        <f>(G23+G24-G25)*(1+'Fane 13. Nøgletal'!C13)</f>
        <v>13307096.522342281</v>
      </c>
      <c r="H29" s="14" t="s">
        <v>3</v>
      </c>
      <c r="I29" s="1"/>
    </row>
    <row r="30" spans="1:9" x14ac:dyDescent="0.25">
      <c r="A30" s="1"/>
      <c r="B30" s="133" t="s">
        <v>121</v>
      </c>
      <c r="C30" s="134"/>
      <c r="D30" s="134"/>
      <c r="E30" s="134"/>
      <c r="F30" s="135"/>
      <c r="G30" s="58">
        <v>0</v>
      </c>
      <c r="H30" s="14" t="s">
        <v>3</v>
      </c>
      <c r="I30" s="1"/>
    </row>
    <row r="31" spans="1:9" x14ac:dyDescent="0.25">
      <c r="A31" s="1"/>
      <c r="B31" s="133" t="s">
        <v>126</v>
      </c>
      <c r="C31" s="134"/>
      <c r="D31" s="134"/>
      <c r="E31" s="134"/>
      <c r="F31" s="135"/>
      <c r="G31" s="58">
        <f>(G29+G30)*'Fane 13. Nøgletal'!C31</f>
        <v>266141.93044684565</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6" t="s">
        <v>133</v>
      </c>
      <c r="C34" s="127"/>
      <c r="D34" s="127"/>
      <c r="E34" s="127"/>
      <c r="F34" s="127"/>
      <c r="G34" s="139"/>
      <c r="H34" s="128"/>
      <c r="I34" s="1"/>
    </row>
    <row r="35" spans="1:9" x14ac:dyDescent="0.25">
      <c r="A35" s="1"/>
      <c r="B35" s="133" t="s">
        <v>74</v>
      </c>
      <c r="C35" s="134"/>
      <c r="D35" s="134"/>
      <c r="E35" s="134"/>
      <c r="F35" s="135"/>
      <c r="G35" s="58">
        <f>(G29+G30-G31)*(1+'Fane 13. Nøgletal'!C13)</f>
        <v>13200054.237916559</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0</v>
      </c>
      <c r="H36" s="14" t="s">
        <v>3</v>
      </c>
      <c r="I36" s="1"/>
    </row>
    <row r="37" spans="1:9" x14ac:dyDescent="0.25">
      <c r="A37" s="1"/>
      <c r="B37" s="133" t="s">
        <v>134</v>
      </c>
      <c r="C37" s="134"/>
      <c r="D37" s="134"/>
      <c r="E37" s="134"/>
      <c r="F37" s="135"/>
      <c r="G37" s="58">
        <f>(G35+G36)*'Fane 13. Nøgletal'!C31</f>
        <v>264001.08475833118</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6" t="s">
        <v>198</v>
      </c>
      <c r="C40" s="127"/>
      <c r="D40" s="127"/>
      <c r="E40" s="127"/>
      <c r="F40" s="127"/>
      <c r="G40" s="139"/>
      <c r="H40" s="128"/>
      <c r="I40" s="1"/>
    </row>
    <row r="41" spans="1:9" x14ac:dyDescent="0.25">
      <c r="A41" s="1"/>
      <c r="B41" s="133" t="s">
        <v>73</v>
      </c>
      <c r="C41" s="134"/>
      <c r="D41" s="134"/>
      <c r="E41" s="134"/>
      <c r="F41" s="135"/>
      <c r="G41" s="58">
        <f>(G35+G36-G37)*(1+'Fane 13. Nøgletal'!C15)</f>
        <v>13396576.645410661</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0</v>
      </c>
      <c r="H42" s="14" t="s">
        <v>3</v>
      </c>
      <c r="I42" s="1"/>
    </row>
    <row r="43" spans="1:9" x14ac:dyDescent="0.25">
      <c r="A43" s="1"/>
      <c r="B43" s="133" t="s">
        <v>208</v>
      </c>
      <c r="C43" s="134"/>
      <c r="D43" s="134"/>
      <c r="E43" s="134"/>
      <c r="F43" s="135"/>
      <c r="G43" s="58">
        <f>(G41+G42)*'Fane 13. Nøgletal'!C31</f>
        <v>267931.53290821321</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6" t="s">
        <v>199</v>
      </c>
      <c r="C46" s="127"/>
      <c r="D46" s="127"/>
      <c r="E46" s="127"/>
      <c r="F46" s="127"/>
      <c r="G46" s="139"/>
      <c r="H46" s="128"/>
      <c r="I46" s="1"/>
    </row>
    <row r="47" spans="1:9" x14ac:dyDescent="0.25">
      <c r="A47" s="1"/>
      <c r="B47" s="133" t="s">
        <v>122</v>
      </c>
      <c r="C47" s="134"/>
      <c r="D47" s="134"/>
      <c r="E47" s="134"/>
      <c r="F47" s="135"/>
      <c r="G47" s="58">
        <f>(G41+G42-G43)*(1+'Fane 13. Nøgletal'!C15)</f>
        <v>13596024.878507536</v>
      </c>
      <c r="H47" s="14" t="s">
        <v>3</v>
      </c>
      <c r="I47" s="1"/>
    </row>
    <row r="48" spans="1:9" x14ac:dyDescent="0.25">
      <c r="A48" s="1"/>
      <c r="B48" s="133" t="s">
        <v>209</v>
      </c>
      <c r="C48" s="134"/>
      <c r="D48" s="134"/>
      <c r="E48" s="134"/>
      <c r="F48" s="135"/>
      <c r="G48" s="58">
        <f>(G47)*'Fane 13. Nøgletal'!C31</f>
        <v>271920.49757015071</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6" t="s">
        <v>145</v>
      </c>
      <c r="C51" s="127"/>
      <c r="D51" s="127"/>
      <c r="E51" s="127"/>
      <c r="F51" s="127"/>
      <c r="G51" s="139"/>
      <c r="H51" s="128"/>
      <c r="I51" s="1"/>
    </row>
    <row r="52" spans="1:9" x14ac:dyDescent="0.25">
      <c r="A52" s="1"/>
      <c r="B52" s="133" t="s">
        <v>146</v>
      </c>
      <c r="C52" s="134"/>
      <c r="D52" s="134"/>
      <c r="E52" s="134"/>
      <c r="F52" s="135"/>
      <c r="G52" s="58">
        <f>(G47-G48)*(1+'Fane 13. Nøgletal'!C15)</f>
        <v>13798442.496898755</v>
      </c>
      <c r="H52" s="14" t="s">
        <v>3</v>
      </c>
      <c r="I52" s="1"/>
    </row>
    <row r="53" spans="1:9" x14ac:dyDescent="0.25">
      <c r="A53" s="1"/>
      <c r="B53" s="133" t="s">
        <v>147</v>
      </c>
      <c r="C53" s="134"/>
      <c r="D53" s="134"/>
      <c r="E53" s="134"/>
      <c r="F53" s="135"/>
      <c r="G53" s="58">
        <f>(G52)*'Fane 13. Nøgletal'!C31</f>
        <v>275968.84993797512</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6" t="s">
        <v>174</v>
      </c>
      <c r="C56" s="127"/>
      <c r="D56" s="127"/>
      <c r="E56" s="127"/>
      <c r="F56" s="127"/>
      <c r="G56" s="139"/>
      <c r="H56" s="128"/>
      <c r="I56" s="1"/>
    </row>
    <row r="57" spans="1:9" x14ac:dyDescent="0.25">
      <c r="A57" s="1"/>
      <c r="B57" s="133" t="s">
        <v>175</v>
      </c>
      <c r="C57" s="134"/>
      <c r="D57" s="134"/>
      <c r="E57" s="134"/>
      <c r="F57" s="135"/>
      <c r="G57" s="58">
        <f>(G52-G53)*(1+'Fane 13. Nøgletal'!C15)</f>
        <v>14003873.708792584</v>
      </c>
      <c r="H57" s="14" t="s">
        <v>3</v>
      </c>
      <c r="I57" s="1"/>
    </row>
    <row r="58" spans="1:9" x14ac:dyDescent="0.25">
      <c r="A58" s="1"/>
      <c r="B58" s="133" t="s">
        <v>176</v>
      </c>
      <c r="C58" s="134"/>
      <c r="D58" s="134"/>
      <c r="E58" s="134"/>
      <c r="F58" s="135"/>
      <c r="G58" s="58">
        <f>(G57)*'Fane 13. Nøgletal'!C31</f>
        <v>280077.47417585168</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Vz2XXjAbvpNIDGImTWwOzTNjY2AavKVnhOhbcYhKRGkZv2wjRA0wfKuyvDlOb75fB7hQTVhKvAWfIiCSY4f8A==" saltValue="91vXrqhsB8sPJ3SDleQxo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140625" style="2" customWidth="1"/>
    <col min="2" max="5" width="9" style="2"/>
    <col min="6" max="6" width="28.85546875" style="2" customWidth="1"/>
    <col min="7" max="7" width="10.28515625" style="2" customWidth="1"/>
    <col min="8" max="8" width="2.85546875" style="2" bestFit="1" customWidth="1"/>
    <col min="9" max="9" width="2.14062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26" t="s">
        <v>53</v>
      </c>
      <c r="C4" s="127"/>
      <c r="D4" s="127"/>
      <c r="E4" s="127"/>
      <c r="F4" s="127"/>
      <c r="G4" s="127"/>
      <c r="H4" s="128"/>
      <c r="I4" s="1"/>
    </row>
    <row r="5" spans="1:9" x14ac:dyDescent="0.25">
      <c r="A5" s="1"/>
      <c r="B5" s="133" t="s">
        <v>56</v>
      </c>
      <c r="C5" s="134"/>
      <c r="D5" s="134"/>
      <c r="E5" s="134"/>
      <c r="F5" s="135"/>
      <c r="G5" s="58">
        <v>17261033</v>
      </c>
      <c r="H5" s="14" t="s">
        <v>3</v>
      </c>
      <c r="I5" s="1"/>
    </row>
    <row r="6" spans="1:9" x14ac:dyDescent="0.25">
      <c r="A6" s="1"/>
      <c r="B6" s="133" t="s">
        <v>54</v>
      </c>
      <c r="C6" s="134"/>
      <c r="D6" s="134"/>
      <c r="E6" s="134"/>
      <c r="F6" s="135"/>
      <c r="G6" s="58">
        <f>G5*'Fane 13. Nøgletal'!C20</f>
        <v>157075.40030000001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6" t="s">
        <v>57</v>
      </c>
      <c r="C9" s="127"/>
      <c r="D9" s="127"/>
      <c r="E9" s="127"/>
      <c r="F9" s="127"/>
      <c r="G9" s="139"/>
      <c r="H9" s="128"/>
      <c r="I9" s="1"/>
    </row>
    <row r="10" spans="1:9" x14ac:dyDescent="0.25">
      <c r="A10" s="1"/>
      <c r="B10" s="133" t="s">
        <v>58</v>
      </c>
      <c r="C10" s="134"/>
      <c r="D10" s="134"/>
      <c r="E10" s="134"/>
      <c r="F10" s="135"/>
      <c r="G10" s="58">
        <f>(G5-G6)*(1+'Fane 13. Nøgletal'!C9)</f>
        <v>17321177.861216187</v>
      </c>
      <c r="H10" s="14" t="s">
        <v>3</v>
      </c>
      <c r="I10" s="1"/>
    </row>
    <row r="11" spans="1:9" x14ac:dyDescent="0.25">
      <c r="A11" s="1"/>
      <c r="B11" s="136" t="s">
        <v>59</v>
      </c>
      <c r="C11" s="137"/>
      <c r="D11" s="137"/>
      <c r="E11" s="137"/>
      <c r="F11" s="138"/>
      <c r="G11" s="63">
        <v>0</v>
      </c>
      <c r="H11" s="14" t="s">
        <v>3</v>
      </c>
      <c r="I11" s="1"/>
    </row>
    <row r="12" spans="1:9" x14ac:dyDescent="0.25">
      <c r="A12" s="1"/>
      <c r="B12" s="133" t="s">
        <v>60</v>
      </c>
      <c r="C12" s="134"/>
      <c r="D12" s="134"/>
      <c r="E12" s="134"/>
      <c r="F12" s="135"/>
      <c r="G12" s="58">
        <f>G10*'Fane 13. Nøgletal'!C20+G11*'Fane 13. Nøgletal'!C21</f>
        <v>157622.71853706733</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6" t="s">
        <v>61</v>
      </c>
      <c r="C15" s="127"/>
      <c r="D15" s="127"/>
      <c r="E15" s="127"/>
      <c r="F15" s="127"/>
      <c r="G15" s="139"/>
      <c r="H15" s="128"/>
      <c r="I15" s="1"/>
    </row>
    <row r="16" spans="1:9" x14ac:dyDescent="0.25">
      <c r="A16" s="1"/>
      <c r="B16" s="133" t="s">
        <v>62</v>
      </c>
      <c r="C16" s="134"/>
      <c r="D16" s="134"/>
      <c r="E16" s="134"/>
      <c r="F16" s="135"/>
      <c r="G16" s="58">
        <f>(G10+G11-G12)*(1+'Fane 13. Nøgletal'!C11)</f>
        <v>17453619.224590398</v>
      </c>
      <c r="H16" s="14" t="s">
        <v>3</v>
      </c>
      <c r="I16" s="1"/>
    </row>
    <row r="17" spans="1:9" x14ac:dyDescent="0.25">
      <c r="A17" s="1"/>
      <c r="B17" s="133" t="s">
        <v>109</v>
      </c>
      <c r="C17" s="134"/>
      <c r="D17" s="134"/>
      <c r="E17" s="134"/>
      <c r="F17" s="135"/>
      <c r="G17" s="58">
        <v>128347.32633447282</v>
      </c>
      <c r="H17" s="14" t="s">
        <v>3</v>
      </c>
      <c r="I17" s="1"/>
    </row>
    <row r="18" spans="1:9" x14ac:dyDescent="0.25">
      <c r="A18" s="1"/>
      <c r="B18" s="136" t="s">
        <v>63</v>
      </c>
      <c r="C18" s="137"/>
      <c r="D18" s="137"/>
      <c r="E18" s="137"/>
      <c r="F18" s="138"/>
      <c r="G18" s="58">
        <v>3527698.2634949791</v>
      </c>
      <c r="H18" s="14" t="s">
        <v>3</v>
      </c>
      <c r="I18" s="1"/>
    </row>
    <row r="19" spans="1:9" x14ac:dyDescent="0.25">
      <c r="A19" s="1"/>
      <c r="B19" s="133" t="s">
        <v>64</v>
      </c>
      <c r="C19" s="134"/>
      <c r="D19" s="134"/>
      <c r="E19" s="134"/>
      <c r="F19" s="135"/>
      <c r="G19" s="58">
        <f>(G16+G17+G18)*'Fane 13. Nøgletal'!C22</f>
        <v>183654.08388545268</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6" t="s">
        <v>65</v>
      </c>
      <c r="C22" s="127"/>
      <c r="D22" s="127"/>
      <c r="E22" s="127"/>
      <c r="F22" s="127"/>
      <c r="G22" s="139"/>
      <c r="H22" s="128"/>
      <c r="I22" s="1"/>
    </row>
    <row r="23" spans="1:9" x14ac:dyDescent="0.25">
      <c r="A23" s="1"/>
      <c r="B23" s="133" t="s">
        <v>66</v>
      </c>
      <c r="C23" s="134"/>
      <c r="D23" s="134"/>
      <c r="E23" s="134"/>
      <c r="F23" s="135"/>
      <c r="G23" s="58">
        <f>(SUM(G16:G18)-G19)*(1+'Fane 13. Nøgletal'!C11)</f>
        <v>21279660.311880428</v>
      </c>
      <c r="H23" s="14" t="s">
        <v>3</v>
      </c>
      <c r="I23" s="1"/>
    </row>
    <row r="24" spans="1:9" x14ac:dyDescent="0.25">
      <c r="A24" s="1"/>
      <c r="B24" s="136" t="s">
        <v>67</v>
      </c>
      <c r="C24" s="137"/>
      <c r="D24" s="137"/>
      <c r="E24" s="137"/>
      <c r="F24" s="138"/>
      <c r="G24" s="58">
        <v>19142.916731712186</v>
      </c>
      <c r="H24" s="14" t="s">
        <v>3</v>
      </c>
      <c r="I24" s="1"/>
    </row>
    <row r="25" spans="1:9" x14ac:dyDescent="0.25">
      <c r="A25" s="1"/>
      <c r="B25" s="133" t="s">
        <v>68</v>
      </c>
      <c r="C25" s="134"/>
      <c r="D25" s="134"/>
      <c r="E25" s="134"/>
      <c r="F25" s="135"/>
      <c r="G25" s="58">
        <f>G23*'Fane 13. Nøgletal'!C22+G24*'Fane 13. Nøgletal'!C23</f>
        <v>185676.70354854033</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6" t="s">
        <v>130</v>
      </c>
      <c r="C28" s="127"/>
      <c r="D28" s="127"/>
      <c r="E28" s="127"/>
      <c r="F28" s="127"/>
      <c r="G28" s="139"/>
      <c r="H28" s="128"/>
      <c r="I28" s="1"/>
    </row>
    <row r="29" spans="1:9" x14ac:dyDescent="0.25">
      <c r="A29" s="1"/>
      <c r="B29" s="133" t="s">
        <v>69</v>
      </c>
      <c r="C29" s="134"/>
      <c r="D29" s="134"/>
      <c r="E29" s="134"/>
      <c r="F29" s="135"/>
      <c r="G29" s="58">
        <f>(G23+G24-G25)*(1+'Fane 13. Nøgletal'!C13)</f>
        <v>21370706.668669377</v>
      </c>
      <c r="H29" s="14" t="s">
        <v>3</v>
      </c>
      <c r="I29" s="1"/>
    </row>
    <row r="30" spans="1:9" x14ac:dyDescent="0.25">
      <c r="A30" s="1"/>
      <c r="B30" s="133" t="s">
        <v>123</v>
      </c>
      <c r="C30" s="134"/>
      <c r="D30" s="134"/>
      <c r="E30" s="134"/>
      <c r="F30" s="135"/>
      <c r="G30" s="58">
        <v>128929.22602559999</v>
      </c>
      <c r="H30" s="14" t="s">
        <v>3</v>
      </c>
      <c r="I30" s="1"/>
    </row>
    <row r="31" spans="1:9" x14ac:dyDescent="0.25">
      <c r="A31" s="1"/>
      <c r="B31" s="133" t="s">
        <v>131</v>
      </c>
      <c r="C31" s="134"/>
      <c r="D31" s="134"/>
      <c r="E31" s="134"/>
      <c r="F31" s="135"/>
      <c r="G31" s="58">
        <f>(G29+G30)*'Fane 13. Nøgletal'!C24</f>
        <v>591239.98710411182</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6" t="s">
        <v>135</v>
      </c>
      <c r="C34" s="127"/>
      <c r="D34" s="127"/>
      <c r="E34" s="127"/>
      <c r="F34" s="127"/>
      <c r="G34" s="139"/>
      <c r="H34" s="128"/>
      <c r="I34" s="1"/>
    </row>
    <row r="35" spans="1:9" x14ac:dyDescent="0.25">
      <c r="A35" s="1"/>
      <c r="B35" s="133" t="s">
        <v>72</v>
      </c>
      <c r="C35" s="134"/>
      <c r="D35" s="134"/>
      <c r="E35" s="134"/>
      <c r="F35" s="135"/>
      <c r="G35" s="58">
        <f>(G29+G30-G31)*(1+'Fane 13. Nøgletal'!C13)</f>
        <v>21163478.337663475</v>
      </c>
      <c r="H35" s="14" t="s">
        <v>3</v>
      </c>
      <c r="I35" s="1"/>
    </row>
    <row r="36" spans="1:9" x14ac:dyDescent="0.25">
      <c r="A36" s="1"/>
      <c r="B36" s="133" t="s">
        <v>141</v>
      </c>
      <c r="C36" s="134"/>
      <c r="D36" s="134"/>
      <c r="E36" s="134"/>
      <c r="F36" s="135"/>
      <c r="G36" s="58">
        <f>SUM('Fane 3. Omkostninger i ØR2022'!E11)*(1+'Fane 13. Nøgletal'!C14)</f>
        <v>10627.797776620002</v>
      </c>
      <c r="H36" s="14" t="s">
        <v>3</v>
      </c>
      <c r="I36" s="1"/>
    </row>
    <row r="37" spans="1:9" x14ac:dyDescent="0.25">
      <c r="A37" s="1"/>
      <c r="B37" s="133" t="s">
        <v>136</v>
      </c>
      <c r="C37" s="134"/>
      <c r="D37" s="134"/>
      <c r="E37" s="134"/>
      <c r="F37" s="135"/>
      <c r="G37" s="58">
        <f>G35*'Fane 13. Nøgletal'!C24+G36*'Fane 13. Nøgletal'!C25</f>
        <v>582152.94569283957</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6" t="s">
        <v>200</v>
      </c>
      <c r="C40" s="127"/>
      <c r="D40" s="127"/>
      <c r="E40" s="127"/>
      <c r="F40" s="127"/>
      <c r="G40" s="139"/>
      <c r="H40" s="128"/>
      <c r="I40" s="1"/>
    </row>
    <row r="41" spans="1:9" x14ac:dyDescent="0.25">
      <c r="A41" s="1"/>
      <c r="B41" s="133" t="s">
        <v>71</v>
      </c>
      <c r="C41" s="134"/>
      <c r="D41" s="134"/>
      <c r="E41" s="134"/>
      <c r="F41" s="135"/>
      <c r="G41" s="58">
        <f>(G35+G36-G37)*(1+'Fane 13. Nøgletal'!C15)</f>
        <v>21325026.72330226</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0</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6" t="s">
        <v>201</v>
      </c>
      <c r="C46" s="127"/>
      <c r="D46" s="127"/>
      <c r="E46" s="127"/>
      <c r="F46" s="127"/>
      <c r="G46" s="139"/>
      <c r="H46" s="128"/>
      <c r="I46" s="1"/>
    </row>
    <row r="47" spans="1:9" x14ac:dyDescent="0.25">
      <c r="A47" s="1"/>
      <c r="B47" s="133" t="s">
        <v>124</v>
      </c>
      <c r="C47" s="134"/>
      <c r="D47" s="134"/>
      <c r="E47" s="134"/>
      <c r="F47" s="135"/>
      <c r="G47" s="58">
        <f>(G41+G42-G43)*(1+'Fane 13. Nøgletal'!C15)</f>
        <v>22084197.674651824</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6" t="s">
        <v>142</v>
      </c>
      <c r="C51" s="127"/>
      <c r="D51" s="127"/>
      <c r="E51" s="127"/>
      <c r="F51" s="127"/>
      <c r="G51" s="139"/>
      <c r="H51" s="128"/>
      <c r="I51" s="1"/>
    </row>
    <row r="52" spans="1:9" x14ac:dyDescent="0.25">
      <c r="A52" s="1"/>
      <c r="B52" s="133" t="s">
        <v>143</v>
      </c>
      <c r="C52" s="134"/>
      <c r="D52" s="134"/>
      <c r="E52" s="134"/>
      <c r="F52" s="135"/>
      <c r="G52" s="58">
        <f>(G47-G48)*(1+'Fane 13. Nøgletal'!C15)</f>
        <v>22870395.111869432</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6" t="s">
        <v>177</v>
      </c>
      <c r="C56" s="127"/>
      <c r="D56" s="127"/>
      <c r="E56" s="127"/>
      <c r="F56" s="127"/>
      <c r="G56" s="139"/>
      <c r="H56" s="128"/>
      <c r="I56" s="1"/>
    </row>
    <row r="57" spans="1:9" x14ac:dyDescent="0.25">
      <c r="A57" s="1"/>
      <c r="B57" s="133" t="s">
        <v>178</v>
      </c>
      <c r="C57" s="134"/>
      <c r="D57" s="134"/>
      <c r="E57" s="134"/>
      <c r="F57" s="135"/>
      <c r="G57" s="58">
        <f>(G52-G53)*(1+'Fane 13. Nøgletal'!C15)</f>
        <v>23684581.177851986</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FIMTHouGGUs3q9yg4715sCEQADEfHsG1iFsx9c1JWAxf5gWgACgGj6QrCqy5LlAt9oYB0PTlX29+pGhhwO7OnQ==" saltValue="6PoqkBT5HBerMYzCQQApx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6" t="s">
        <v>9</v>
      </c>
      <c r="C8" s="127"/>
      <c r="D8" s="127"/>
      <c r="E8" s="127"/>
      <c r="F8" s="127"/>
      <c r="G8" s="128"/>
      <c r="H8" s="1"/>
    </row>
    <row r="9" spans="1:8" x14ac:dyDescent="0.25">
      <c r="A9" s="1"/>
      <c r="B9" s="84" t="s">
        <v>180</v>
      </c>
      <c r="C9" s="85"/>
      <c r="D9" s="85"/>
      <c r="E9" s="85"/>
      <c r="F9" s="86"/>
      <c r="G9" s="28">
        <v>9.9258894296820454E-3</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AqG/ZS7HC1bsIjy2m8fgPOpdx9DstendG6+lCr/3wYzwRifeOI+bbDh3YWE9puMvEzxnaOGeVjGTh+aUiy3khA==" saltValue="1IjOgjOBUzmcLROGZSphK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2022-12-01T09:00:06Z</dcterms:modified>
</cp:coreProperties>
</file>