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Assens Spildevand AS (S006)\ØR2024\"/>
    </mc:Choice>
  </mc:AlternateContent>
  <xr:revisionPtr revIDLastSave="0" documentId="13_ncr:1_{3278FED2-97EC-4475-B3B1-263D16D040D5}"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Delta="1E-4"/>
</workbook>
</file>

<file path=xl/calcChain.xml><?xml version="1.0" encoding="utf-8"?>
<calcChain xmlns="http://schemas.openxmlformats.org/spreadsheetml/2006/main">
  <c r="J10" i="11" l="1"/>
  <c r="E16" i="44" l="1"/>
  <c r="E17" i="44"/>
  <c r="E25" i="44" l="1"/>
  <c r="E18" i="44"/>
  <c r="E29" i="44" l="1"/>
  <c r="E31" i="44" s="1"/>
  <c r="C9" i="2"/>
  <c r="C20" i="15" l="1"/>
  <c r="C32" i="2"/>
  <c r="F10" i="11"/>
  <c r="F14" i="11"/>
  <c r="F15" i="11"/>
  <c r="F16" i="11"/>
  <c r="F17" i="11"/>
  <c r="F18" i="11"/>
  <c r="F19" i="11"/>
  <c r="F20" i="11"/>
  <c r="E30" i="20" l="1"/>
  <c r="E29" i="20"/>
  <c r="E31" i="20" s="1"/>
  <c r="E24" i="20"/>
  <c r="E23" i="20"/>
  <c r="E25" i="20" s="1"/>
  <c r="G18" i="41" l="1"/>
  <c r="E17" i="20" l="1"/>
  <c r="E11" i="20"/>
  <c r="C22" i="23" l="1"/>
  <c r="C22" i="22"/>
  <c r="C22" i="15"/>
  <c r="C36" i="2"/>
  <c r="F11" i="11" l="1"/>
  <c r="F12" i="11"/>
  <c r="F13" i="11"/>
  <c r="C13" i="29" l="1"/>
  <c r="C14" i="29" s="1"/>
  <c r="E13" i="29"/>
  <c r="E14" i="29" s="1"/>
  <c r="E13" i="39"/>
  <c r="E14" i="39" s="1"/>
  <c r="C13" i="39"/>
  <c r="C14" i="39" s="1"/>
  <c r="J21" i="11"/>
  <c r="H21" i="11"/>
  <c r="C20" i="19"/>
  <c r="C21" i="19" s="1"/>
  <c r="C16" i="23" l="1"/>
  <c r="C16" i="15"/>
  <c r="C16" i="22"/>
  <c r="F21" i="1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<sst xmlns="http://schemas.openxmlformats.org/spreadsheetml/2006/main" count="704" uniqueCount="300">
  <si>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</si>
  <si>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</si>
  <si>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</si>
  <si>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</si>
  <si>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</si>
  <si>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</si>
  <si>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</si>
  <si>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</si>
  <si>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</si>
  <si>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</si>
  <si>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</si>
  <si>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</si>
  <si>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</si>
  <si>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</si>
  <si>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</si>
  <si>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</si>
  <si>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</si>
  <si>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</si>
  <si>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</si>
  <si>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</si>
  <si>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</si>
  <si>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</si>
  <si>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</si>
  <si>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</si>
  <si>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</si>
  <si>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</si>
  <si>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</si>
  <si>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</si>
  <si>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</si>
  <si>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</si>
  <si>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</si>
  <si>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</si>
  <si>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</si>
  <si>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</si>
  <si>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</si>
  <si>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</si>
  <si>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</si>
  <si>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</si>
  <si>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</si>
  <si>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</si>
  <si>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</si>
  <si>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</si>
  <si>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</si>
  <si>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</si>
  <si>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</si>
  <si>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</si>
  <si>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</si>
  <si>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</si>
  <si>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</si>
  <si>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</si>
  <si>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</si>
  <si>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</si>
  <si>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</si>
  <si>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</si>
  <si>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</si>
  <si>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</si>
  <si>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</si>
  <si>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</si>
  <si>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</si>
  <si>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</si>
  <si>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</si>
  <si>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</si>
  <si>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</si>
  <si>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</si>
  <si>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</si>
  <si>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</si>
  <si>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</si>
  <si>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</si>
  <si>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</si>
  <si>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</si>
  <si>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</si>
  <si>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</si>
  <si>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</si>
  <si>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</si>
  <si>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</si>
  <si>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</si>
  <si>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</si>
  <si>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</si>
  <si>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</si>
  <si>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</si>
  <si>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</si>
  <si>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</si>
  <si>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</si>
  <si>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</si>
  <si>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</si>
  <si>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</si>
  <si>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</si>
  <si>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</si>
  <si>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</si>
  <si>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</si>
  <si>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</si>
  <si>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</si>
  <si>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</si>
  <si>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</si>
  <si>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</si>
  <si>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</si>
  <si>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</si>
  <si>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</si>
  <si>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</si>
  <si>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</si>
  <si>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</si>
  <si>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</si>
  <si>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</si>
  <si>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</si>
  <si>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</si>
  <si>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</si>
  <si>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</si>
  <si>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</si>
  <si>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</si>
  <si>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</si>
  <si>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</si>
  <si>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</si>
  <si>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</si>
  <si>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</si>
  <si>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</si>
  <si>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</si>
  <si>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</si>
  <si>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</si>
  <si>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</si>
  <si>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</si>
  <si>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</si>
  <si>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</si>
  <si>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</si>
  <si>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</si>
  <si>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</si>
  <si>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</si>
  <si>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</si>
  <si>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</si>
  <si>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</si>
  <si>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</si>
  <si>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</si>
  <si>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</si>
  <si>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</si>
  <si>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</si>
  <si>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</si>
  <si>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</si>
  <si>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</si>
  <si>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</si>
  <si>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</si>
  <si>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</si>
  <si>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</si>
  <si>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</si>
  <si>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</si>
  <si>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</si>
  <si>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</si>
  <si>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</si>
  <si>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</si>
  <si>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</si>
  <si>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</si>
  <si>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</si>
  <si>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</si>
  <si>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</si>
  <si>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</si>
  <si>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</si>
  <si>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</si>
  <si>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</si>
  <si>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</si>
  <si>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</si>
  <si>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</si>
  <si>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</si>
  <si>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</si>
  <si>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</si>
  <si>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</si>
  <si>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</si>
  <si>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</si>
  <si>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</si>
  <si>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</si>
  <si>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</si>
  <si>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</si>
  <si>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</si>
  <si>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</si>
  <si>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</si>
  <si>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</si>
  <si>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</si>
  <si>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</si>
  <si>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</si>
  <si>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</si>
  <si>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</si>
  <si>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</si>
  <si>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</si>
  <si>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</si>
  <si>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</si>
  <si>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</si>
  <si>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</si>
  <si>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</si>
  <si>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</si>
  <si>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</si>
  <si>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</si>
  <si>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</si>
  <si>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</si>
  <si>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</si>
  <si>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</si>
  <si>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</si>
  <si>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</si>
  <si>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</si>
  <si>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</si>
  <si>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</si>
  <si>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</si>
  <si>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</si>
  <si>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</si>
  <si>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</si>
  <si>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</si>
  <si>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</si>
  <si>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</si>
  <si>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</si>
  <si>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</si>
  <si>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</si>
  <si>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</si>
  <si>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</si>
  <si>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</si>
  <si>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</si>
  <si>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</si>
  <si>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</si>
  <si>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</si>
  <si>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</si>
  <si>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</si>
  <si>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</si>
  <si>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</si>
  <si>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</si>
  <si>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</si>
  <si>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</si>
  <si>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</si>
  <si>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</si>
  <si>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</si>
  <si>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</si>
  <si>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</si>
  <si>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</si>
  <si>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</si>
  <si>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</si>
  <si>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</si>
  <si>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</si>
  <si>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</si>
  <si>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</si>
  <si>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</si>
  <si>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</si>
  <si>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</si>
  <si>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</si>
  <si>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</si>
  <si>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</si>
  <si>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</si>
  <si>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</si>
  <si>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</si>
  <si>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</si>
  <si>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</si>
  <si>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</si>
  <si>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</si>
  <si>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</si>
  <si>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</si>
  <si>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</si>
  <si>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</si>
  <si>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</si>
  <si>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</si>
  <si>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</si>
  <si>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</si>
  <si>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</si>
  <si>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</si>
  <si>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</si>
  <si>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</si>
  <si>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</si>
  <si>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</si>
  <si>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</si>
  <si>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</si>
  <si>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</si>
  <si>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</si>
  <si>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</si>
  <si>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Brønde</t>
  </si>
  <si>
    <t>Ledningsnet &gt; Ø 1600 mm (rørbassiner og transportledninger)</t>
  </si>
  <si>
    <t>Ledningsnet ≤ Ø 200 mm</t>
  </si>
  <si>
    <t>Stik</t>
  </si>
  <si>
    <t>Ø 200 mm &lt; Ledningsnet ≤ Ø 500 mm</t>
  </si>
  <si>
    <t>Ø 500 mm &lt; Ledningsnet ≤ Ø 800 mm</t>
  </si>
  <si>
    <t>Jordbassin Klasse A</t>
  </si>
  <si>
    <t>Pumpestationer i underjordiske bygværker (&lt;50 m2), Konstruktioner</t>
  </si>
  <si>
    <t>Strømpeforing Ø 200 mm &lt; Ledningsnet ≤ Ø 500 mm</t>
  </si>
  <si>
    <t>Pumpestationer i underjordiske bygværker (&lt;50 m2), Mek/El</t>
  </si>
  <si>
    <t>Pumpestationer i underjordiske bygværker (&lt;50 m2), SRO</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</si>
  <si>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</si>
  <si>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</si>
  <si>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</si>
  <si>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</si>
  <si>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</si>
  <si>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</si>
  <si>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Afgift til Forsyningssekretariatet</t>
  </si>
  <si>
    <t>Køb af ydelser og produkter fra andre vandselskaber reguleret af vandsektorloven</t>
  </si>
  <si>
    <t>Ejendomsskatter</t>
  </si>
  <si>
    <t>Erstatninger</t>
  </si>
  <si>
    <t>Udvidelse af forsyningsområdet 2022</t>
  </si>
  <si>
    <t>Ingen engangstillæg</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</si>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</sst>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0" fontId="8" fillId="10" borderId="3" xfId="4" applyNumberFormat="1" applyFont="1" applyFill="1" applyBorder="1" applyProtection="1"/>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8" fillId="8" borderId="1" xfId="1" applyNumberFormat="1" applyFont="1" applyFill="1" applyBorder="1" applyProtection="1"/>
    <xf numFmtId="3" fontId="8" fillId="8" borderId="1" xfId="1" applyNumberFormat="1" applyFont="1" applyFill="1" applyBorder="1" applyProtection="1"/>
    <xf numFmtId="1" fontId="8" fillId="8" borderId="2" xfId="1" quotePrefix="1" applyNumberFormat="1" applyFont="1" applyFill="1" applyBorder="1" applyAlignment="1" applyProtection="1">
      <alignment horizontal="right"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101" t="s">
        <v>252</v>
      </c>
      <c r="E8" s="101"/>
      <c r="F8" s="101"/>
      <c r="G8" s="101"/>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0" t="s">
        <v>5</v>
      </c>
      <c r="E11" s="100"/>
      <c r="F11" s="100"/>
      <c r="G11" s="100"/>
      <c r="H11" s="5"/>
      <c r="I11" s="1"/>
    </row>
    <row r="12" spans="1:9" x14ac:dyDescent="0.25">
      <c r="A12" s="1"/>
      <c r="B12" s="1"/>
      <c r="C12" s="1"/>
      <c r="D12" s="1"/>
      <c r="E12" s="1"/>
      <c r="F12" s="1"/>
      <c r="G12" s="1"/>
      <c r="H12" s="5"/>
      <c r="I12" s="1"/>
    </row>
    <row r="13" spans="1:9" x14ac:dyDescent="0.25">
      <c r="A13" s="1"/>
      <c r="B13" s="1"/>
      <c r="C13" s="6" t="s">
        <v>6</v>
      </c>
      <c r="D13" s="105" t="s">
        <v>196</v>
      </c>
      <c r="E13" s="106"/>
      <c r="F13" s="106"/>
      <c r="G13" s="107"/>
      <c r="H13" s="5"/>
      <c r="I13" s="1"/>
    </row>
    <row r="14" spans="1:9" x14ac:dyDescent="0.25">
      <c r="A14" s="1"/>
      <c r="B14" s="1"/>
      <c r="C14" s="6" t="s">
        <v>16</v>
      </c>
      <c r="D14" s="90" t="s">
        <v>197</v>
      </c>
      <c r="E14" s="91"/>
      <c r="F14" s="91"/>
      <c r="G14" s="92"/>
      <c r="H14" s="5"/>
      <c r="I14" s="1"/>
    </row>
    <row r="15" spans="1:9" x14ac:dyDescent="0.25">
      <c r="A15" s="1"/>
      <c r="B15" s="1"/>
      <c r="C15" s="6" t="s">
        <v>31</v>
      </c>
      <c r="D15" s="90" t="s">
        <v>262</v>
      </c>
      <c r="E15" s="91"/>
      <c r="F15" s="91"/>
      <c r="G15" s="92"/>
      <c r="H15" s="5"/>
      <c r="I15" s="1"/>
    </row>
    <row r="16" spans="1:9" x14ac:dyDescent="0.25">
      <c r="A16" s="1"/>
      <c r="B16" s="1"/>
      <c r="C16" s="6" t="s">
        <v>32</v>
      </c>
      <c r="D16" s="90" t="s">
        <v>263</v>
      </c>
      <c r="E16" s="91"/>
      <c r="F16" s="91"/>
      <c r="G16" s="92"/>
      <c r="H16" s="5"/>
      <c r="I16" s="1"/>
    </row>
    <row r="17" spans="1:9" x14ac:dyDescent="0.25">
      <c r="A17" s="1"/>
      <c r="B17" s="1"/>
      <c r="C17" s="6" t="s">
        <v>101</v>
      </c>
      <c r="D17" s="90" t="s">
        <v>198</v>
      </c>
      <c r="E17" s="91"/>
      <c r="F17" s="91"/>
      <c r="G17" s="92"/>
      <c r="H17" s="5"/>
      <c r="I17" s="1"/>
    </row>
    <row r="18" spans="1:9" x14ac:dyDescent="0.25">
      <c r="A18" s="1"/>
      <c r="B18" s="1"/>
      <c r="C18" s="6" t="s">
        <v>88</v>
      </c>
      <c r="D18" s="102" t="s">
        <v>79</v>
      </c>
      <c r="E18" s="103"/>
      <c r="F18" s="103"/>
      <c r="G18" s="104"/>
      <c r="H18" s="5"/>
      <c r="I18" s="1"/>
    </row>
    <row r="19" spans="1:9" x14ac:dyDescent="0.25">
      <c r="A19" s="1"/>
      <c r="B19" s="1"/>
      <c r="C19" s="6" t="s">
        <v>89</v>
      </c>
      <c r="D19" s="102" t="s">
        <v>80</v>
      </c>
      <c r="E19" s="103"/>
      <c r="F19" s="103"/>
      <c r="G19" s="104"/>
      <c r="H19" s="5"/>
      <c r="I19" s="1"/>
    </row>
    <row r="20" spans="1:9" x14ac:dyDescent="0.25">
      <c r="A20" s="1"/>
      <c r="B20" s="1"/>
      <c r="C20" s="6" t="s">
        <v>7</v>
      </c>
      <c r="D20" s="102" t="s">
        <v>10</v>
      </c>
      <c r="E20" s="103"/>
      <c r="F20" s="103"/>
      <c r="G20" s="104"/>
      <c r="H20" s="5"/>
      <c r="I20" s="1"/>
    </row>
    <row r="21" spans="1:9" x14ac:dyDescent="0.25">
      <c r="A21" s="1"/>
      <c r="B21" s="1"/>
      <c r="C21" s="6" t="s">
        <v>90</v>
      </c>
      <c r="D21" s="94" t="s">
        <v>12</v>
      </c>
      <c r="E21" s="95"/>
      <c r="F21" s="95"/>
      <c r="G21" s="96"/>
      <c r="H21" s="5"/>
      <c r="I21" s="1"/>
    </row>
    <row r="22" spans="1:9" x14ac:dyDescent="0.25">
      <c r="A22" s="1"/>
      <c r="B22" s="1"/>
      <c r="C22" s="6" t="s">
        <v>71</v>
      </c>
      <c r="D22" s="97" t="s">
        <v>199</v>
      </c>
      <c r="E22" s="98"/>
      <c r="F22" s="98"/>
      <c r="G22" s="99"/>
      <c r="H22" s="5"/>
      <c r="I22" s="1"/>
    </row>
    <row r="23" spans="1:9" x14ac:dyDescent="0.25">
      <c r="A23" s="1"/>
      <c r="B23" s="1"/>
      <c r="C23" s="6" t="s">
        <v>8</v>
      </c>
      <c r="D23" s="97" t="s">
        <v>181</v>
      </c>
      <c r="E23" s="98"/>
      <c r="F23" s="98"/>
      <c r="G23" s="99"/>
      <c r="H23" s="5"/>
      <c r="I23" s="1"/>
    </row>
    <row r="24" spans="1:9" x14ac:dyDescent="0.25">
      <c r="A24" s="1"/>
      <c r="B24" s="1"/>
      <c r="C24" s="6" t="s">
        <v>9</v>
      </c>
      <c r="D24" s="97" t="s">
        <v>200</v>
      </c>
      <c r="E24" s="98"/>
      <c r="F24" s="98"/>
      <c r="G24" s="99"/>
      <c r="H24" s="5"/>
      <c r="I24" s="1"/>
    </row>
    <row r="25" spans="1:9" x14ac:dyDescent="0.25">
      <c r="A25" s="1"/>
      <c r="B25" s="1"/>
      <c r="C25" s="6" t="s">
        <v>166</v>
      </c>
      <c r="D25" s="97" t="s">
        <v>160</v>
      </c>
      <c r="E25" s="98"/>
      <c r="F25" s="98"/>
      <c r="G25" s="99"/>
      <c r="H25" s="1"/>
      <c r="I25" s="1"/>
    </row>
    <row r="26" spans="1:9" x14ac:dyDescent="0.25">
      <c r="A26" s="1"/>
      <c r="B26" s="1"/>
      <c r="C26" s="6" t="s">
        <v>167</v>
      </c>
      <c r="D26" s="97" t="s">
        <v>72</v>
      </c>
      <c r="E26" s="98"/>
      <c r="F26" s="98"/>
      <c r="G26" s="99"/>
      <c r="H26" s="1"/>
      <c r="I26" s="1"/>
    </row>
    <row r="27" spans="1:9" x14ac:dyDescent="0.25">
      <c r="A27" s="1"/>
      <c r="B27" s="1"/>
      <c r="C27" s="6" t="s">
        <v>168</v>
      </c>
      <c r="D27" s="97" t="s">
        <v>73</v>
      </c>
      <c r="E27" s="98"/>
      <c r="F27" s="98"/>
      <c r="G27" s="99"/>
      <c r="H27" s="1"/>
      <c r="I27" s="1"/>
    </row>
    <row r="28" spans="1:9" x14ac:dyDescent="0.25">
      <c r="A28" s="1"/>
      <c r="B28" s="1"/>
      <c r="C28" s="6" t="s">
        <v>15</v>
      </c>
      <c r="D28" s="97" t="s">
        <v>74</v>
      </c>
      <c r="E28" s="98"/>
      <c r="F28" s="98"/>
      <c r="G28" s="99"/>
      <c r="H28" s="1"/>
      <c r="I28" s="1"/>
    </row>
    <row r="29" spans="1:9" x14ac:dyDescent="0.25">
      <c r="A29" s="1"/>
      <c r="B29" s="1"/>
      <c r="C29" s="6" t="s">
        <v>34</v>
      </c>
      <c r="D29" s="97" t="s">
        <v>114</v>
      </c>
      <c r="E29" s="98"/>
      <c r="F29" s="98"/>
      <c r="G29" s="99"/>
      <c r="H29" s="1"/>
      <c r="I29" s="1"/>
    </row>
    <row r="30" spans="1:9" x14ac:dyDescent="0.25">
      <c r="A30" s="1"/>
      <c r="B30" s="1"/>
      <c r="C30" s="6" t="s">
        <v>35</v>
      </c>
      <c r="D30" s="97" t="s">
        <v>33</v>
      </c>
      <c r="E30" s="98"/>
      <c r="F30" s="98"/>
      <c r="G30" s="99"/>
      <c r="H30" s="1"/>
      <c r="I30" s="1"/>
    </row>
    <row r="31" spans="1:9" x14ac:dyDescent="0.25">
      <c r="A31" s="1"/>
      <c r="B31" s="1"/>
      <c r="C31" s="6" t="s">
        <v>169</v>
      </c>
      <c r="D31" s="108" t="s">
        <v>87</v>
      </c>
      <c r="E31" s="109"/>
      <c r="F31" s="109"/>
      <c r="G31" s="11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WUQ1WZC3WKYVpmrTiM+qHooDGWcoMfJI5n7d7jVSUZe7jj0DJwZlAcpYS8J7wECNGVWjpc8qcdSc2szTwqI0ow==" saltValue="EpF1j0MyYgTjmowcl4HZq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93</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8" t="s">
        <v>224</v>
      </c>
      <c r="C8" s="119"/>
      <c r="D8" s="120"/>
      <c r="E8" s="1"/>
      <c r="F8" s="1"/>
    </row>
    <row r="9" spans="1:6" ht="15" customHeight="1" x14ac:dyDescent="0.25">
      <c r="A9" s="1"/>
      <c r="B9" s="27" t="s">
        <v>29</v>
      </c>
      <c r="C9" s="51" t="s">
        <v>225</v>
      </c>
      <c r="D9" s="11"/>
      <c r="E9" s="1"/>
      <c r="F9" s="1"/>
    </row>
    <row r="10" spans="1:6" ht="15" customHeight="1" x14ac:dyDescent="0.25">
      <c r="A10" s="1"/>
      <c r="B10" s="82" t="s">
        <v>282</v>
      </c>
      <c r="C10" s="9">
        <v>92526</v>
      </c>
      <c r="D10" s="14" t="s">
        <v>3</v>
      </c>
      <c r="E10" s="1"/>
      <c r="F10" s="1"/>
    </row>
    <row r="11" spans="1:6" ht="26.25" x14ac:dyDescent="0.25">
      <c r="A11" s="1"/>
      <c r="B11" s="29" t="s">
        <v>283</v>
      </c>
      <c r="C11" s="9">
        <v>19698275</v>
      </c>
      <c r="D11" s="14" t="s">
        <v>3</v>
      </c>
      <c r="E11" s="1"/>
      <c r="F11" s="1"/>
    </row>
    <row r="12" spans="1:6" x14ac:dyDescent="0.25">
      <c r="A12" s="1"/>
      <c r="B12" s="82" t="s">
        <v>284</v>
      </c>
      <c r="C12" s="9">
        <v>443537.9</v>
      </c>
      <c r="D12" s="14" t="s">
        <v>3</v>
      </c>
      <c r="E12" s="1"/>
      <c r="F12" s="1"/>
    </row>
    <row r="13" spans="1:6" x14ac:dyDescent="0.25">
      <c r="A13" s="1"/>
      <c r="B13" s="82" t="s">
        <v>285</v>
      </c>
      <c r="C13" s="9">
        <v>229368.69999999998</v>
      </c>
      <c r="D13" s="14" t="s">
        <v>3</v>
      </c>
      <c r="E13" s="1"/>
      <c r="F13" s="1"/>
    </row>
    <row r="14" spans="1:6" x14ac:dyDescent="0.25">
      <c r="A14" s="1"/>
      <c r="B14" s="82"/>
      <c r="C14" s="9"/>
      <c r="D14" s="14" t="s">
        <v>3</v>
      </c>
      <c r="E14" s="1"/>
      <c r="F14" s="1"/>
    </row>
    <row r="15" spans="1:6" x14ac:dyDescent="0.25">
      <c r="A15" s="1"/>
      <c r="B15" s="82"/>
      <c r="C15" s="9"/>
      <c r="D15" s="14" t="s">
        <v>3</v>
      </c>
      <c r="E15" s="1"/>
      <c r="F15" s="1"/>
    </row>
    <row r="16" spans="1:6" x14ac:dyDescent="0.25">
      <c r="A16" s="1"/>
      <c r="B16" s="82"/>
      <c r="C16" s="9"/>
      <c r="D16" s="14" t="s">
        <v>3</v>
      </c>
      <c r="E16" s="1"/>
      <c r="F16" s="1"/>
    </row>
    <row r="17" spans="1:6" x14ac:dyDescent="0.25">
      <c r="A17" s="1"/>
      <c r="B17" s="82"/>
      <c r="C17" s="9"/>
      <c r="D17" s="14" t="s">
        <v>3</v>
      </c>
      <c r="E17" s="1"/>
      <c r="F17" s="1"/>
    </row>
    <row r="18" spans="1:6" x14ac:dyDescent="0.25">
      <c r="A18" s="1"/>
      <c r="B18" s="82"/>
      <c r="C18" s="9"/>
      <c r="D18" s="14" t="s">
        <v>3</v>
      </c>
      <c r="E18" s="1"/>
      <c r="F18" s="1"/>
    </row>
    <row r="19" spans="1:6" x14ac:dyDescent="0.25">
      <c r="A19" s="1"/>
      <c r="B19" s="82"/>
      <c r="C19" s="9"/>
      <c r="D19" s="14" t="s">
        <v>3</v>
      </c>
      <c r="E19" s="1"/>
      <c r="F19" s="1"/>
    </row>
    <row r="20" spans="1:6" x14ac:dyDescent="0.25">
      <c r="A20" s="1"/>
      <c r="B20" s="33" t="s">
        <v>226</v>
      </c>
      <c r="C20" s="12">
        <f>SUM(C10:C19)</f>
        <v>20463707.599999998</v>
      </c>
      <c r="D20" s="13" t="s">
        <v>3</v>
      </c>
      <c r="E20" s="1"/>
      <c r="F20" s="1"/>
    </row>
    <row r="21" spans="1:6" x14ac:dyDescent="0.25">
      <c r="A21" s="1"/>
      <c r="B21" s="33" t="s">
        <v>227</v>
      </c>
      <c r="C21" s="12">
        <f>C20*(1+'Fane 15. Nøgletal'!C16)^2</f>
        <v>23904242.928145662</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8" t="s">
        <v>99</v>
      </c>
      <c r="C24" s="119"/>
      <c r="D24" s="120"/>
      <c r="E24" s="1"/>
      <c r="F24" s="1"/>
    </row>
    <row r="25" spans="1:6" x14ac:dyDescent="0.25">
      <c r="A25" s="1"/>
      <c r="B25" s="82" t="s">
        <v>109</v>
      </c>
      <c r="C25" s="9">
        <v>0</v>
      </c>
      <c r="D25" s="14" t="s">
        <v>3</v>
      </c>
      <c r="E25" s="1"/>
      <c r="F25" s="1"/>
    </row>
    <row r="26" spans="1:6" x14ac:dyDescent="0.25">
      <c r="A26" s="1"/>
      <c r="B26" s="82" t="s">
        <v>123</v>
      </c>
      <c r="C26" s="9">
        <v>0</v>
      </c>
      <c r="D26" s="14" t="s">
        <v>3</v>
      </c>
      <c r="E26" s="1"/>
      <c r="F26" s="1"/>
    </row>
    <row r="27" spans="1:6" x14ac:dyDescent="0.25">
      <c r="A27" s="1"/>
      <c r="B27" s="82" t="s">
        <v>142</v>
      </c>
      <c r="C27" s="9">
        <v>0</v>
      </c>
      <c r="D27" s="14" t="s">
        <v>3</v>
      </c>
      <c r="E27" s="1"/>
      <c r="F27" s="1"/>
    </row>
    <row r="28" spans="1:6" x14ac:dyDescent="0.25">
      <c r="A28" s="1"/>
      <c r="B28" s="34" t="s">
        <v>261</v>
      </c>
      <c r="C28" s="9">
        <v>0</v>
      </c>
      <c r="D28" s="38" t="s">
        <v>3</v>
      </c>
      <c r="E28" s="1"/>
      <c r="F28" s="1"/>
    </row>
    <row r="29" spans="1:6" x14ac:dyDescent="0.25">
      <c r="A29" s="1"/>
      <c r="B29" s="118"/>
      <c r="C29" s="119"/>
      <c r="D29" s="120"/>
      <c r="E29" s="1"/>
      <c r="F29" s="1"/>
    </row>
    <row r="30" spans="1:6" x14ac:dyDescent="0.25">
      <c r="A30" s="1"/>
      <c r="B30" s="1"/>
      <c r="C30" s="1"/>
      <c r="D30" s="1"/>
      <c r="E30" s="1"/>
      <c r="F30" s="1"/>
    </row>
    <row r="31" spans="1:6" x14ac:dyDescent="0.25">
      <c r="A31" s="1"/>
      <c r="B31" s="1"/>
      <c r="C31" s="1"/>
      <c r="D31" s="1"/>
      <c r="E31" s="1"/>
      <c r="F31" s="1"/>
    </row>
    <row r="32" spans="1:6" x14ac:dyDescent="0.25">
      <c r="A32" s="1"/>
      <c r="B32" s="118" t="s">
        <v>81</v>
      </c>
      <c r="C32" s="119"/>
      <c r="D32" s="120"/>
      <c r="E32" s="1"/>
      <c r="F32" s="1"/>
    </row>
    <row r="33" spans="1:6" x14ac:dyDescent="0.25">
      <c r="A33" s="1"/>
      <c r="B33" s="82" t="s">
        <v>109</v>
      </c>
      <c r="C33" s="9">
        <v>467976</v>
      </c>
      <c r="D33" s="14" t="s">
        <v>3</v>
      </c>
      <c r="E33" s="1"/>
      <c r="F33" s="1"/>
    </row>
    <row r="34" spans="1:6" x14ac:dyDescent="0.25">
      <c r="A34" s="1"/>
      <c r="B34" s="82" t="s">
        <v>123</v>
      </c>
      <c r="C34" s="9">
        <v>467976</v>
      </c>
      <c r="D34" s="14" t="s">
        <v>3</v>
      </c>
      <c r="E34" s="1"/>
      <c r="F34" s="1"/>
    </row>
    <row r="35" spans="1:6" x14ac:dyDescent="0.25">
      <c r="A35" s="1"/>
      <c r="B35" s="82" t="s">
        <v>142</v>
      </c>
      <c r="C35" s="9">
        <v>467976</v>
      </c>
      <c r="D35" s="14" t="s">
        <v>3</v>
      </c>
      <c r="E35" s="1"/>
      <c r="F35" s="1"/>
    </row>
    <row r="36" spans="1:6" x14ac:dyDescent="0.25">
      <c r="A36" s="1"/>
      <c r="B36" s="34" t="s">
        <v>261</v>
      </c>
      <c r="C36" s="9">
        <v>467976</v>
      </c>
      <c r="D36" s="38" t="s">
        <v>3</v>
      </c>
      <c r="E36" s="1"/>
      <c r="F36" s="1"/>
    </row>
    <row r="37" spans="1:6" x14ac:dyDescent="0.25">
      <c r="A37" s="1"/>
      <c r="B37" s="118"/>
      <c r="C37" s="119"/>
      <c r="D37" s="120"/>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row r="53" spans="1:6" x14ac:dyDescent="0.25">
      <c r="A53" s="49"/>
      <c r="B53" s="49"/>
      <c r="C53" s="49"/>
      <c r="D53" s="49"/>
      <c r="E53" s="49"/>
      <c r="F53" s="49"/>
    </row>
    <row r="54" spans="1:6" x14ac:dyDescent="0.25">
      <c r="A54" s="49"/>
      <c r="B54" s="49"/>
      <c r="C54" s="49"/>
      <c r="D54" s="49"/>
      <c r="E54" s="49"/>
      <c r="F54" s="49"/>
    </row>
    <row r="55" spans="1:6" x14ac:dyDescent="0.25">
      <c r="A55" s="49"/>
      <c r="B55" s="49"/>
      <c r="C55" s="49"/>
      <c r="D55" s="49"/>
      <c r="E55" s="49"/>
      <c r="F55" s="49"/>
    </row>
    <row r="56" spans="1:6" x14ac:dyDescent="0.25">
      <c r="A56" s="49"/>
      <c r="B56" s="49"/>
      <c r="C56" s="49"/>
      <c r="D56" s="49"/>
      <c r="E56" s="49"/>
      <c r="F56" s="49"/>
    </row>
  </sheetData>
  <sheetProtection algorithmName="SHA-512" hashValue="NHdOITahSmVzOm655KQPDuWyvN/tATApvSOnK7IL0QJ6t+z1rnjnDkuKAuIIVr+DZ8dsGBYbco6t5xILQFVQ9w==" saltValue="Zxl9tSP4NMI9UvGiB8cop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6169-34DC-4675-AE88-7A573F97F2AA}">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5"/>
      <c r="C5" s="75"/>
      <c r="D5" s="75"/>
      <c r="E5" s="75"/>
      <c r="F5" s="75"/>
      <c r="G5" s="1"/>
    </row>
    <row r="6" spans="1:7" ht="15" customHeight="1" x14ac:dyDescent="0.25">
      <c r="A6" s="1"/>
      <c r="B6" s="75"/>
      <c r="C6" s="75"/>
      <c r="D6" s="75"/>
      <c r="E6" s="75"/>
      <c r="F6" s="75"/>
      <c r="G6" s="1"/>
    </row>
    <row r="7" spans="1:7" ht="15" customHeight="1" x14ac:dyDescent="0.25">
      <c r="A7" s="1"/>
      <c r="B7" s="1"/>
      <c r="C7" s="1"/>
      <c r="D7" s="1"/>
      <c r="E7" s="1"/>
      <c r="F7" s="1"/>
      <c r="G7" s="1"/>
    </row>
    <row r="8" spans="1:7" ht="15" customHeight="1" x14ac:dyDescent="0.25">
      <c r="A8" s="1"/>
      <c r="B8" s="118" t="s">
        <v>137</v>
      </c>
      <c r="C8" s="119"/>
      <c r="D8" s="119"/>
      <c r="E8" s="119"/>
      <c r="F8" s="120"/>
      <c r="G8" s="1"/>
    </row>
    <row r="9" spans="1:7" ht="15" customHeight="1" x14ac:dyDescent="0.25">
      <c r="A9" s="1"/>
      <c r="B9" s="121" t="s">
        <v>288</v>
      </c>
      <c r="C9" s="122"/>
      <c r="D9" s="123"/>
      <c r="E9" s="9">
        <v>1587757</v>
      </c>
      <c r="F9" s="14" t="s">
        <v>3</v>
      </c>
      <c r="G9" s="1"/>
    </row>
    <row r="10" spans="1:7" ht="15" customHeight="1" x14ac:dyDescent="0.25">
      <c r="A10" s="1"/>
      <c r="B10" s="121" t="s">
        <v>143</v>
      </c>
      <c r="C10" s="122"/>
      <c r="D10" s="123"/>
      <c r="E10" s="9">
        <v>-5791794</v>
      </c>
      <c r="F10" s="14" t="s">
        <v>3</v>
      </c>
      <c r="G10" s="1"/>
    </row>
    <row r="11" spans="1:7" ht="15" customHeight="1" x14ac:dyDescent="0.25">
      <c r="A11" s="1"/>
      <c r="B11" s="121" t="s">
        <v>289</v>
      </c>
      <c r="C11" s="122"/>
      <c r="D11" s="123"/>
      <c r="E11" s="9">
        <v>9585588</v>
      </c>
      <c r="F11" s="14" t="s">
        <v>3</v>
      </c>
      <c r="G11" s="1"/>
    </row>
    <row r="12" spans="1:7" x14ac:dyDescent="0.25">
      <c r="A12" s="1"/>
      <c r="B12" s="33"/>
      <c r="C12" s="28"/>
      <c r="D12" s="28"/>
      <c r="E12" s="28"/>
      <c r="F12" s="19"/>
      <c r="G12" s="1"/>
    </row>
    <row r="13" spans="1:7" ht="42" customHeight="1" x14ac:dyDescent="0.25">
      <c r="A13" s="1"/>
      <c r="B13" s="115" t="s">
        <v>290</v>
      </c>
      <c r="C13" s="116"/>
      <c r="D13" s="116"/>
      <c r="E13" s="116"/>
      <c r="F13" s="117"/>
      <c r="G13" s="1"/>
    </row>
    <row r="14" spans="1:7" ht="15" customHeight="1" x14ac:dyDescent="0.25">
      <c r="A14" s="1"/>
      <c r="B14" s="1"/>
      <c r="C14" s="1"/>
      <c r="D14" s="1"/>
      <c r="E14" s="1"/>
      <c r="F14" s="1"/>
      <c r="G14" s="1"/>
    </row>
    <row r="15" spans="1:7" x14ac:dyDescent="0.25">
      <c r="A15" s="1"/>
      <c r="B15" s="76" t="s">
        <v>291</v>
      </c>
      <c r="C15" s="77"/>
      <c r="D15" s="77"/>
      <c r="E15" s="77"/>
      <c r="F15" s="78"/>
      <c r="G15" s="1"/>
    </row>
    <row r="16" spans="1:7" x14ac:dyDescent="0.25">
      <c r="A16" s="1"/>
      <c r="B16" s="79" t="s">
        <v>292</v>
      </c>
      <c r="C16" s="80"/>
      <c r="D16" s="81"/>
      <c r="E16" s="9">
        <f>IF(E11&lt;0,E11,0)</f>
        <v>0</v>
      </c>
      <c r="F16" s="14" t="s">
        <v>3</v>
      </c>
      <c r="G16" s="1"/>
    </row>
    <row r="17" spans="1:7" x14ac:dyDescent="0.25">
      <c r="A17" s="1"/>
      <c r="B17" s="79" t="s">
        <v>293</v>
      </c>
      <c r="C17" s="80"/>
      <c r="D17" s="81"/>
      <c r="E17" s="9">
        <f>IF(SUM(E10)&gt;0,SUM(E10),0)</f>
        <v>0</v>
      </c>
      <c r="F17" s="14" t="s">
        <v>3</v>
      </c>
      <c r="G17" s="1"/>
    </row>
    <row r="18" spans="1:7" x14ac:dyDescent="0.25">
      <c r="A18" s="1"/>
      <c r="B18" s="83" t="s">
        <v>294</v>
      </c>
      <c r="C18" s="84"/>
      <c r="D18" s="85"/>
      <c r="E18" s="63">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6" t="s">
        <v>295</v>
      </c>
      <c r="C21" s="77"/>
      <c r="D21" s="77"/>
      <c r="E21" s="77"/>
      <c r="F21" s="78"/>
      <c r="G21" s="1"/>
    </row>
    <row r="22" spans="1:7" x14ac:dyDescent="0.25">
      <c r="A22" s="1"/>
      <c r="B22" s="79" t="s">
        <v>296</v>
      </c>
      <c r="C22" s="80"/>
      <c r="D22" s="81"/>
      <c r="E22" s="9">
        <v>105828159</v>
      </c>
      <c r="F22" s="14" t="s">
        <v>3</v>
      </c>
      <c r="G22" s="1"/>
    </row>
    <row r="23" spans="1:7" x14ac:dyDescent="0.25">
      <c r="A23" s="1"/>
      <c r="B23" s="79" t="s">
        <v>297</v>
      </c>
      <c r="C23" s="80"/>
      <c r="D23" s="81"/>
      <c r="E23" s="9">
        <v>93954340</v>
      </c>
      <c r="F23" s="14" t="s">
        <v>3</v>
      </c>
      <c r="G23" s="1"/>
    </row>
    <row r="24" spans="1:7" x14ac:dyDescent="0.25">
      <c r="A24" s="1"/>
      <c r="B24" s="79" t="s">
        <v>30</v>
      </c>
      <c r="C24" s="80"/>
      <c r="D24" s="81"/>
      <c r="E24" s="9">
        <v>0</v>
      </c>
      <c r="F24" s="14" t="s">
        <v>3</v>
      </c>
      <c r="G24" s="1"/>
    </row>
    <row r="25" spans="1:7" x14ac:dyDescent="0.25">
      <c r="A25" s="1"/>
      <c r="B25" s="83" t="s">
        <v>298</v>
      </c>
      <c r="C25" s="84"/>
      <c r="D25" s="85"/>
      <c r="E25" s="63">
        <f>E22-E23-E24</f>
        <v>11873819</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8" t="s">
        <v>299</v>
      </c>
      <c r="C28" s="119"/>
      <c r="D28" s="119"/>
      <c r="E28" s="119"/>
      <c r="F28" s="120"/>
      <c r="G28" s="1"/>
    </row>
    <row r="29" spans="1:7" x14ac:dyDescent="0.25">
      <c r="A29" s="1"/>
      <c r="B29" s="133" t="s">
        <v>116</v>
      </c>
      <c r="C29" s="134"/>
      <c r="D29" s="135"/>
      <c r="E29" s="9">
        <f>IF(E18&lt;0,IF(E25&lt;0,SUM(E18,E25),IF(E10&gt;0,SUM(E10:E11),E18)),IF(AND(E25&lt;0,SUM(E25,E11)&lt;0),IF(E11&lt;0,E25,IF(SUM(E10:E11)&gt;0,SUM(E25,E11),IF(AND(E25&lt;0,E18=0,E11&gt;0),IF(SUM(E9:E11)&gt;0,E25+E11,E25)))),0))</f>
        <v>0</v>
      </c>
      <c r="F29" s="14" t="s">
        <v>3</v>
      </c>
      <c r="G29" s="1"/>
    </row>
    <row r="30" spans="1:7" x14ac:dyDescent="0.25">
      <c r="A30" s="1"/>
      <c r="B30" s="133" t="s">
        <v>84</v>
      </c>
      <c r="C30" s="134"/>
      <c r="D30" s="135"/>
      <c r="E30" s="9">
        <v>2</v>
      </c>
      <c r="F30" s="14" t="s">
        <v>20</v>
      </c>
      <c r="G30" s="1"/>
    </row>
    <row r="31" spans="1:7" x14ac:dyDescent="0.25">
      <c r="A31" s="1"/>
      <c r="B31" s="136" t="s">
        <v>117</v>
      </c>
      <c r="C31" s="137"/>
      <c r="D31" s="138"/>
      <c r="E31" s="10">
        <f>E29/E30</f>
        <v>0</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9"/>
      <c r="B46" s="49"/>
      <c r="C46" s="49"/>
      <c r="D46" s="49"/>
      <c r="E46" s="49"/>
      <c r="F46" s="49"/>
      <c r="G46" s="49"/>
    </row>
    <row r="47" spans="1:7" x14ac:dyDescent="0.25">
      <c r="A47" s="49"/>
      <c r="B47" s="49"/>
      <c r="C47" s="49"/>
      <c r="D47" s="49"/>
      <c r="E47" s="49"/>
      <c r="F47" s="49"/>
      <c r="G47" s="49"/>
    </row>
    <row r="48" spans="1:7" x14ac:dyDescent="0.25">
      <c r="A48" s="49"/>
      <c r="B48" s="49"/>
      <c r="C48" s="49"/>
      <c r="D48" s="49"/>
      <c r="E48" s="49"/>
      <c r="F48" s="49"/>
      <c r="G48" s="49"/>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G51" s="49"/>
    </row>
  </sheetData>
  <sheetProtection algorithmName="SHA-512" hashValue="WFC4LYGGLxEsOuF2uD+BuYcUJ3wkNmWjA+ayrYx1XewyM79j9rLdyxrN1ITeyb2dI1EozG/pqaubaVlGldHK3g==" saltValue="e/xE/tVO+r4RS55c0blYVQ=="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2" customWidth="1"/>
    <col min="2" max="2" width="22.5703125" style="62" customWidth="1"/>
    <col min="3" max="3" width="8.28515625" style="62" customWidth="1"/>
    <col min="4" max="6" width="10.7109375" style="62" customWidth="1"/>
    <col min="7" max="7" width="11.140625" style="62" customWidth="1"/>
    <col min="8" max="8" width="3.28515625" style="62" customWidth="1"/>
    <col min="9" max="9" width="4.85546875" style="62" customWidth="1"/>
    <col min="10" max="16384" width="9.140625" style="6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170</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8" t="s">
        <v>189</v>
      </c>
      <c r="C8" s="119"/>
      <c r="D8" s="119"/>
      <c r="E8" s="119"/>
      <c r="F8" s="119"/>
      <c r="G8" s="119"/>
      <c r="H8" s="120"/>
      <c r="I8" s="1"/>
    </row>
    <row r="9" spans="1:9" ht="15" customHeight="1" x14ac:dyDescent="0.25">
      <c r="A9" s="1"/>
      <c r="B9" s="145" t="s">
        <v>171</v>
      </c>
      <c r="C9" s="146"/>
      <c r="D9" s="146"/>
      <c r="E9" s="146"/>
      <c r="F9" s="146"/>
      <c r="G9" s="146"/>
      <c r="H9" s="147"/>
      <c r="I9" s="1"/>
    </row>
    <row r="10" spans="1:9" x14ac:dyDescent="0.25">
      <c r="A10" s="1"/>
      <c r="B10" s="142" t="s">
        <v>172</v>
      </c>
      <c r="C10" s="143"/>
      <c r="D10" s="143"/>
      <c r="E10" s="143"/>
      <c r="F10" s="144"/>
      <c r="G10" s="9">
        <v>0</v>
      </c>
      <c r="H10" s="9" t="s">
        <v>3</v>
      </c>
      <c r="I10" s="1"/>
    </row>
    <row r="11" spans="1:9" x14ac:dyDescent="0.25">
      <c r="A11" s="1"/>
      <c r="B11" s="142" t="s">
        <v>173</v>
      </c>
      <c r="C11" s="143"/>
      <c r="D11" s="143"/>
      <c r="E11" s="143"/>
      <c r="F11" s="144"/>
      <c r="G11" s="9">
        <v>0</v>
      </c>
      <c r="H11" s="9" t="s">
        <v>3</v>
      </c>
      <c r="I11" s="1"/>
    </row>
    <row r="12" spans="1:9" x14ac:dyDescent="0.25">
      <c r="A12" s="1"/>
      <c r="B12" s="142" t="s">
        <v>174</v>
      </c>
      <c r="C12" s="143"/>
      <c r="D12" s="143"/>
      <c r="E12" s="143"/>
      <c r="F12" s="144"/>
      <c r="G12" s="9">
        <v>0</v>
      </c>
      <c r="H12" s="9" t="s">
        <v>3</v>
      </c>
      <c r="I12" s="1"/>
    </row>
    <row r="13" spans="1:9" x14ac:dyDescent="0.25">
      <c r="A13" s="1"/>
      <c r="B13" s="142" t="s">
        <v>175</v>
      </c>
      <c r="C13" s="143"/>
      <c r="D13" s="143"/>
      <c r="E13" s="143"/>
      <c r="F13" s="144"/>
      <c r="G13" s="9">
        <v>0</v>
      </c>
      <c r="H13" s="9" t="s">
        <v>3</v>
      </c>
      <c r="I13" s="1"/>
    </row>
    <row r="14" spans="1:9" x14ac:dyDescent="0.25">
      <c r="A14" s="1"/>
      <c r="B14" s="142" t="s">
        <v>176</v>
      </c>
      <c r="C14" s="143"/>
      <c r="D14" s="143"/>
      <c r="E14" s="143"/>
      <c r="F14" s="144"/>
      <c r="G14" s="9">
        <v>0</v>
      </c>
      <c r="H14" s="9" t="s">
        <v>3</v>
      </c>
      <c r="I14" s="1"/>
    </row>
    <row r="15" spans="1:9" x14ac:dyDescent="0.25">
      <c r="A15" s="1"/>
      <c r="B15" s="142" t="s">
        <v>177</v>
      </c>
      <c r="C15" s="143"/>
      <c r="D15" s="143"/>
      <c r="E15" s="143"/>
      <c r="F15" s="144"/>
      <c r="G15" s="9">
        <v>0</v>
      </c>
      <c r="H15" s="9" t="s">
        <v>3</v>
      </c>
      <c r="I15" s="1"/>
    </row>
    <row r="16" spans="1:9" x14ac:dyDescent="0.25">
      <c r="A16" s="1"/>
      <c r="B16" s="142" t="s">
        <v>178</v>
      </c>
      <c r="C16" s="143"/>
      <c r="D16" s="143"/>
      <c r="E16" s="143"/>
      <c r="F16" s="144"/>
      <c r="G16" s="9">
        <v>0</v>
      </c>
      <c r="H16" s="9" t="s">
        <v>3</v>
      </c>
      <c r="I16" s="1"/>
    </row>
    <row r="17" spans="1:9" x14ac:dyDescent="0.25">
      <c r="A17" s="1"/>
      <c r="B17" s="142" t="s">
        <v>179</v>
      </c>
      <c r="C17" s="143"/>
      <c r="D17" s="143"/>
      <c r="E17" s="143"/>
      <c r="F17" s="144"/>
      <c r="G17" s="9">
        <v>0</v>
      </c>
      <c r="H17" s="9" t="s">
        <v>3</v>
      </c>
      <c r="I17" s="1"/>
    </row>
    <row r="18" spans="1:9" x14ac:dyDescent="0.25">
      <c r="A18" s="1"/>
      <c r="B18" s="118" t="s">
        <v>180</v>
      </c>
      <c r="C18" s="119"/>
      <c r="D18" s="119"/>
      <c r="E18" s="119"/>
      <c r="F18" s="12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44Ac2YGzVVzvCIiwKDw3vp6V7g4I9Ol+LULzE5C2RuxCaQS9gu38jH0H+uBXKUF4Aoy1G2YOL/ZXd/ecsKpJyA==" saltValue="UhniuHWae/4O5FlhHuQcnQ=="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228</v>
      </c>
      <c r="C9" s="119"/>
      <c r="D9" s="119"/>
      <c r="E9" s="119"/>
      <c r="F9" s="120"/>
      <c r="G9" s="1"/>
    </row>
    <row r="10" spans="1:7" x14ac:dyDescent="0.25">
      <c r="A10" s="1"/>
      <c r="B10" s="115" t="s">
        <v>82</v>
      </c>
      <c r="C10" s="116"/>
      <c r="D10" s="117"/>
      <c r="E10" s="7">
        <v>1695445.9211952793</v>
      </c>
      <c r="F10" s="8" t="s">
        <v>3</v>
      </c>
      <c r="G10" s="1"/>
    </row>
    <row r="11" spans="1:7" x14ac:dyDescent="0.25">
      <c r="A11" s="1"/>
      <c r="B11" s="121" t="s">
        <v>229</v>
      </c>
      <c r="C11" s="122"/>
      <c r="D11" s="123"/>
      <c r="E11" s="7">
        <v>535040.36</v>
      </c>
      <c r="F11" s="8" t="s">
        <v>3</v>
      </c>
      <c r="G11" s="1"/>
    </row>
    <row r="12" spans="1:7" x14ac:dyDescent="0.25">
      <c r="A12" s="1"/>
      <c r="B12" s="136" t="s">
        <v>83</v>
      </c>
      <c r="C12" s="137"/>
      <c r="D12" s="138"/>
      <c r="E12" s="10">
        <f>E11-E10</f>
        <v>-1160405.5611952795</v>
      </c>
      <c r="F12" s="11" t="s">
        <v>3</v>
      </c>
      <c r="G12" s="1"/>
    </row>
    <row r="13" spans="1:7" x14ac:dyDescent="0.25">
      <c r="A13" s="1"/>
      <c r="B13" s="118" t="s">
        <v>78</v>
      </c>
      <c r="C13" s="119"/>
      <c r="D13" s="119"/>
      <c r="E13" s="119"/>
      <c r="F13" s="120"/>
      <c r="G13" s="1"/>
    </row>
    <row r="14" spans="1:7" x14ac:dyDescent="0.25">
      <c r="A14" s="1"/>
      <c r="B14" s="121" t="s">
        <v>230</v>
      </c>
      <c r="C14" s="122"/>
      <c r="D14" s="123"/>
      <c r="E14" s="7">
        <v>0</v>
      </c>
      <c r="F14" s="8" t="s">
        <v>3</v>
      </c>
      <c r="G14" s="1"/>
    </row>
    <row r="15" spans="1:7" x14ac:dyDescent="0.25">
      <c r="A15" s="1"/>
      <c r="B15" s="115" t="s">
        <v>231</v>
      </c>
      <c r="C15" s="116"/>
      <c r="D15" s="117"/>
      <c r="E15" s="7">
        <v>0</v>
      </c>
      <c r="F15" s="8" t="s">
        <v>3</v>
      </c>
      <c r="G15" s="1"/>
    </row>
    <row r="16" spans="1:7" x14ac:dyDescent="0.25">
      <c r="A16" s="1"/>
      <c r="B16" s="136" t="s">
        <v>83</v>
      </c>
      <c r="C16" s="137"/>
      <c r="D16" s="138"/>
      <c r="E16" s="10">
        <f>E15-E14</f>
        <v>0</v>
      </c>
      <c r="F16" s="11" t="s">
        <v>3</v>
      </c>
      <c r="G16" s="1"/>
    </row>
    <row r="17" spans="1:7" x14ac:dyDescent="0.25">
      <c r="A17" s="1"/>
      <c r="B17" s="33" t="s">
        <v>232</v>
      </c>
      <c r="C17" s="28"/>
      <c r="D17" s="28"/>
      <c r="E17" s="12">
        <f>E12+E16</f>
        <v>-1160405.5611952795</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egZUVQsKG4dSsNU9IvfJIlWTJ2CRWskC/h0qIHkg51Org08qJvETqvRfJU09Lm8WiwbR+qetrqHlcrXc5b4qg==" saltValue="BpeR73ABAlI+KozkDWs12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1"/>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8" t="s">
        <v>149</v>
      </c>
      <c r="C8" s="119"/>
      <c r="D8" s="119"/>
      <c r="E8" s="119"/>
      <c r="F8" s="119"/>
      <c r="G8" s="119"/>
      <c r="H8" s="119"/>
      <c r="I8" s="119"/>
      <c r="J8" s="119"/>
      <c r="K8" s="120"/>
      <c r="L8" s="1"/>
    </row>
    <row r="9" spans="1:12" ht="39.75" customHeight="1" x14ac:dyDescent="0.25">
      <c r="A9" s="1"/>
      <c r="B9" s="18" t="s">
        <v>0</v>
      </c>
      <c r="C9" s="18" t="s">
        <v>1</v>
      </c>
      <c r="D9" s="148" t="s">
        <v>165</v>
      </c>
      <c r="E9" s="149"/>
      <c r="F9" s="148" t="s">
        <v>2</v>
      </c>
      <c r="G9" s="149"/>
      <c r="H9" s="148" t="s">
        <v>164</v>
      </c>
      <c r="I9" s="149"/>
      <c r="J9" s="148" t="s">
        <v>27</v>
      </c>
      <c r="K9" s="149"/>
      <c r="L9" s="1"/>
    </row>
    <row r="10" spans="1:12" x14ac:dyDescent="0.25">
      <c r="A10" s="1"/>
      <c r="B10" s="86" t="s">
        <v>265</v>
      </c>
      <c r="C10" s="46">
        <v>75</v>
      </c>
      <c r="D10" s="9">
        <v>2516390.44</v>
      </c>
      <c r="E10" s="14" t="s">
        <v>3</v>
      </c>
      <c r="F10" s="9">
        <f>IFERROR(D10/C10,0)</f>
        <v>33551.872533333335</v>
      </c>
      <c r="G10" s="14" t="s">
        <v>3</v>
      </c>
      <c r="H10" s="42">
        <v>0</v>
      </c>
      <c r="I10" s="14" t="s">
        <v>3</v>
      </c>
      <c r="J10" s="42">
        <f>109073.22+16243.03</f>
        <v>125316.25</v>
      </c>
      <c r="K10" s="14" t="s">
        <v>3</v>
      </c>
      <c r="L10" s="1"/>
    </row>
    <row r="11" spans="1:12" ht="39" x14ac:dyDescent="0.25">
      <c r="A11" s="1"/>
      <c r="B11" s="86" t="s">
        <v>266</v>
      </c>
      <c r="C11" s="39">
        <v>75</v>
      </c>
      <c r="D11" s="9">
        <v>1601370.55</v>
      </c>
      <c r="E11" s="14" t="s">
        <v>3</v>
      </c>
      <c r="F11" s="9">
        <f t="shared" ref="F11:F20" si="0">IFERROR(D11/C11,0)</f>
        <v>21351.607333333333</v>
      </c>
      <c r="G11" s="14" t="s">
        <v>3</v>
      </c>
      <c r="H11" s="42">
        <v>0</v>
      </c>
      <c r="I11" s="14" t="s">
        <v>3</v>
      </c>
      <c r="J11" s="42">
        <v>79748.25</v>
      </c>
      <c r="K11" s="14" t="s">
        <v>3</v>
      </c>
      <c r="L11" s="1"/>
    </row>
    <row r="12" spans="1:12" x14ac:dyDescent="0.25">
      <c r="A12" s="1"/>
      <c r="B12" s="86" t="s">
        <v>267</v>
      </c>
      <c r="C12" s="39">
        <v>75</v>
      </c>
      <c r="D12" s="9">
        <v>5321845.38</v>
      </c>
      <c r="E12" s="14" t="s">
        <v>3</v>
      </c>
      <c r="F12" s="9">
        <f t="shared" si="0"/>
        <v>70957.938399999999</v>
      </c>
      <c r="G12" s="14" t="s">
        <v>3</v>
      </c>
      <c r="H12" s="42">
        <v>0</v>
      </c>
      <c r="I12" s="14" t="s">
        <v>3</v>
      </c>
      <c r="J12" s="42">
        <v>265027.90000000002</v>
      </c>
      <c r="K12" s="14" t="s">
        <v>3</v>
      </c>
      <c r="L12" s="1"/>
    </row>
    <row r="13" spans="1:12" x14ac:dyDescent="0.25">
      <c r="A13" s="1"/>
      <c r="B13" s="86" t="s">
        <v>268</v>
      </c>
      <c r="C13" s="39">
        <v>75</v>
      </c>
      <c r="D13" s="9">
        <v>59930.27</v>
      </c>
      <c r="E13" s="14" t="s">
        <v>3</v>
      </c>
      <c r="F13" s="9">
        <f t="shared" si="0"/>
        <v>799.07026666666661</v>
      </c>
      <c r="G13" s="14" t="s">
        <v>3</v>
      </c>
      <c r="H13" s="42">
        <v>0</v>
      </c>
      <c r="I13" s="14" t="s">
        <v>3</v>
      </c>
      <c r="J13" s="42">
        <v>2984.53</v>
      </c>
      <c r="K13" s="14" t="s">
        <v>3</v>
      </c>
      <c r="L13" s="1"/>
    </row>
    <row r="14" spans="1:12" ht="26.25" x14ac:dyDescent="0.25">
      <c r="A14" s="1"/>
      <c r="B14" s="86" t="s">
        <v>269</v>
      </c>
      <c r="C14" s="39">
        <v>75</v>
      </c>
      <c r="D14" s="9">
        <v>25215070.710000001</v>
      </c>
      <c r="E14" s="14" t="s">
        <v>3</v>
      </c>
      <c r="F14" s="9">
        <f t="shared" si="0"/>
        <v>336200.94280000002</v>
      </c>
      <c r="G14" s="14" t="s">
        <v>3</v>
      </c>
      <c r="H14" s="42">
        <v>0</v>
      </c>
      <c r="I14" s="14" t="s">
        <v>3</v>
      </c>
      <c r="J14" s="42">
        <v>1255710.53</v>
      </c>
      <c r="K14" s="14" t="s">
        <v>3</v>
      </c>
      <c r="L14" s="1"/>
    </row>
    <row r="15" spans="1:12" ht="26.25" x14ac:dyDescent="0.25">
      <c r="A15" s="1"/>
      <c r="B15" s="86" t="s">
        <v>270</v>
      </c>
      <c r="C15" s="39">
        <v>75</v>
      </c>
      <c r="D15" s="9">
        <v>33908246.25</v>
      </c>
      <c r="E15" s="14" t="s">
        <v>3</v>
      </c>
      <c r="F15" s="9">
        <f t="shared" si="0"/>
        <v>452109.95</v>
      </c>
      <c r="G15" s="14" t="s">
        <v>3</v>
      </c>
      <c r="H15" s="42">
        <v>0</v>
      </c>
      <c r="I15" s="14" t="s">
        <v>3</v>
      </c>
      <c r="J15" s="42">
        <v>1688630.67</v>
      </c>
      <c r="K15" s="14" t="s">
        <v>3</v>
      </c>
      <c r="L15" s="1"/>
    </row>
    <row r="16" spans="1:12" x14ac:dyDescent="0.25">
      <c r="A16" s="1"/>
      <c r="B16" s="86" t="s">
        <v>271</v>
      </c>
      <c r="C16" s="39">
        <v>50</v>
      </c>
      <c r="D16" s="9">
        <v>2562720</v>
      </c>
      <c r="E16" s="14" t="s">
        <v>3</v>
      </c>
      <c r="F16" s="9">
        <f t="shared" si="0"/>
        <v>51254.400000000001</v>
      </c>
      <c r="G16" s="14" t="s">
        <v>3</v>
      </c>
      <c r="H16" s="42">
        <v>0</v>
      </c>
      <c r="I16" s="14" t="s">
        <v>3</v>
      </c>
      <c r="J16" s="42">
        <v>127623.46</v>
      </c>
      <c r="K16" s="14" t="s">
        <v>3</v>
      </c>
      <c r="L16" s="1"/>
    </row>
    <row r="17" spans="1:12" ht="39" x14ac:dyDescent="0.25">
      <c r="A17" s="1"/>
      <c r="B17" s="86" t="s">
        <v>272</v>
      </c>
      <c r="C17" s="39">
        <v>50</v>
      </c>
      <c r="D17" s="9">
        <v>20213602.300000001</v>
      </c>
      <c r="E17" s="14" t="s">
        <v>3</v>
      </c>
      <c r="F17" s="9">
        <f t="shared" si="0"/>
        <v>404272.04600000003</v>
      </c>
      <c r="G17" s="14" t="s">
        <v>3</v>
      </c>
      <c r="H17" s="42">
        <v>0</v>
      </c>
      <c r="I17" s="14" t="s">
        <v>3</v>
      </c>
      <c r="J17" s="42">
        <v>1006637.4</v>
      </c>
      <c r="K17" s="14" t="s">
        <v>3</v>
      </c>
      <c r="L17" s="1"/>
    </row>
    <row r="18" spans="1:12" ht="26.25" x14ac:dyDescent="0.25">
      <c r="A18" s="1"/>
      <c r="B18" s="86" t="s">
        <v>273</v>
      </c>
      <c r="C18" s="39">
        <v>50</v>
      </c>
      <c r="D18" s="9">
        <v>11050.98</v>
      </c>
      <c r="E18" s="14" t="s">
        <v>3</v>
      </c>
      <c r="F18" s="9">
        <f t="shared" si="0"/>
        <v>221.0196</v>
      </c>
      <c r="G18" s="14" t="s">
        <v>3</v>
      </c>
      <c r="H18" s="42">
        <v>0</v>
      </c>
      <c r="I18" s="14" t="s">
        <v>3</v>
      </c>
      <c r="J18" s="42">
        <v>550.34</v>
      </c>
      <c r="K18" s="14" t="s">
        <v>3</v>
      </c>
      <c r="L18" s="1"/>
    </row>
    <row r="19" spans="1:12" ht="39" x14ac:dyDescent="0.25">
      <c r="A19" s="1"/>
      <c r="B19" s="86" t="s">
        <v>274</v>
      </c>
      <c r="C19" s="39">
        <v>20</v>
      </c>
      <c r="D19" s="9">
        <v>31787922.289999999</v>
      </c>
      <c r="E19" s="14" t="s">
        <v>3</v>
      </c>
      <c r="F19" s="9">
        <f t="shared" si="0"/>
        <v>1589396.1144999999</v>
      </c>
      <c r="G19" s="14" t="s">
        <v>3</v>
      </c>
      <c r="H19" s="42">
        <v>0</v>
      </c>
      <c r="I19" s="14" t="s">
        <v>3</v>
      </c>
      <c r="J19" s="42">
        <v>1583038.53</v>
      </c>
      <c r="K19" s="14" t="s">
        <v>3</v>
      </c>
      <c r="L19" s="1"/>
    </row>
    <row r="20" spans="1:12" ht="39" x14ac:dyDescent="0.25">
      <c r="A20" s="1"/>
      <c r="B20" s="86" t="s">
        <v>275</v>
      </c>
      <c r="C20" s="39">
        <v>10</v>
      </c>
      <c r="D20" s="9">
        <v>2382289.46</v>
      </c>
      <c r="E20" s="14" t="s">
        <v>3</v>
      </c>
      <c r="F20" s="9">
        <f t="shared" si="0"/>
        <v>238228.946</v>
      </c>
      <c r="G20" s="14" t="s">
        <v>3</v>
      </c>
      <c r="H20" s="42">
        <v>0</v>
      </c>
      <c r="I20" s="14" t="s">
        <v>3</v>
      </c>
      <c r="J20" s="42">
        <v>118638.02</v>
      </c>
      <c r="K20" s="14" t="s">
        <v>3</v>
      </c>
      <c r="L20" s="1"/>
    </row>
    <row r="21" spans="1:12" x14ac:dyDescent="0.25">
      <c r="A21" s="1"/>
      <c r="B21" s="76" t="s">
        <v>150</v>
      </c>
      <c r="C21" s="77"/>
      <c r="D21" s="78"/>
      <c r="E21" s="78"/>
      <c r="F21" s="12">
        <f>SUM(F10:F20)</f>
        <v>3198343.9074333333</v>
      </c>
      <c r="G21" s="12" t="s">
        <v>163</v>
      </c>
      <c r="H21" s="12">
        <f>SUM(H10:H20)</f>
        <v>0</v>
      </c>
      <c r="I21" s="12" t="s">
        <v>163</v>
      </c>
      <c r="J21" s="12">
        <f>SUM(J10:J20)</f>
        <v>6253905.8799999999</v>
      </c>
      <c r="K21" s="13" t="s">
        <v>3</v>
      </c>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49"/>
      <c r="B40" s="49"/>
      <c r="C40" s="49"/>
      <c r="D40" s="49"/>
      <c r="E40" s="49"/>
      <c r="F40" s="49"/>
      <c r="G40" s="49"/>
      <c r="H40" s="49"/>
      <c r="I40" s="49"/>
      <c r="J40" s="49"/>
      <c r="K40" s="49"/>
      <c r="L40" s="49"/>
    </row>
    <row r="41" spans="1:12" x14ac:dyDescent="0.25">
      <c r="A41" s="49"/>
      <c r="B41" s="49"/>
      <c r="C41" s="49"/>
      <c r="D41" s="49"/>
      <c r="E41" s="49"/>
      <c r="F41" s="49"/>
      <c r="G41" s="49"/>
      <c r="H41" s="49"/>
      <c r="I41" s="49"/>
      <c r="J41" s="49"/>
      <c r="K41" s="49"/>
      <c r="L41" s="49"/>
    </row>
  </sheetData>
  <sheetProtection algorithmName="SHA-512" hashValue="ciQPbhJZFYSsU17e+woffEIlaBhFZhZ5DkkkDvtWGsoeQdUv2GVtlbf8yfEimSRANQCgHw2xXf/UWeuVDTDBYg==" saltValue="HmZKS2WxtQHH3h4skOEII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7" t="s">
        <v>17</v>
      </c>
      <c r="C9" s="87" t="s">
        <v>11</v>
      </c>
      <c r="D9" s="88"/>
      <c r="E9" s="87" t="s">
        <v>28</v>
      </c>
      <c r="F9" s="32"/>
      <c r="G9" s="1"/>
    </row>
    <row r="10" spans="1:7" x14ac:dyDescent="0.25">
      <c r="A10" s="1"/>
      <c r="B10" s="24" t="s">
        <v>153</v>
      </c>
      <c r="C10" s="21">
        <f>'Fane 10. Anlægsprojekter (§ 19)'!H21</f>
        <v>0</v>
      </c>
      <c r="D10" s="14" t="s">
        <v>3</v>
      </c>
      <c r="E10" s="9">
        <f>SUM('Fane 10. Anlægsprojekter (§ 19)'!F21,'Fane 10. Anlægsprojekter (§ 19)'!J21)</f>
        <v>9452249.7874333337</v>
      </c>
      <c r="F10" s="14" t="s">
        <v>3</v>
      </c>
      <c r="G10" s="1"/>
    </row>
    <row r="11" spans="1:7" x14ac:dyDescent="0.25">
      <c r="A11" s="1"/>
      <c r="B11" s="24" t="s">
        <v>286</v>
      </c>
      <c r="C11" s="21">
        <v>20522</v>
      </c>
      <c r="D11" s="14" t="s">
        <v>3</v>
      </c>
      <c r="E11" s="9">
        <v>122449</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20522</v>
      </c>
      <c r="D19" s="13" t="s">
        <v>3</v>
      </c>
      <c r="E19" s="12">
        <f>SUM(E10:E18)</f>
        <v>9574698.7874333337</v>
      </c>
      <c r="F19" s="13" t="s">
        <v>3</v>
      </c>
      <c r="G19" s="1"/>
    </row>
    <row r="20" spans="1:7" x14ac:dyDescent="0.25">
      <c r="A20" s="1"/>
      <c r="B20" s="33" t="s">
        <v>233</v>
      </c>
      <c r="C20" s="12">
        <f>C19*(1+'Fane 15. Nøgletal'!C16)</f>
        <v>22180.177599999999</v>
      </c>
      <c r="D20" s="13" t="s">
        <v>3</v>
      </c>
      <c r="E20" s="12">
        <f>E19*(1+'Fane 15. Nøgletal'!C16)</f>
        <v>10348334.449457947</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0MCWdjSXeTAAO9a9Axp1BBTiw89RWvzc8zPk05L95T9BWnV2g61CeySBstD8m4iPRnQ7pR6a7S1pQJC9vvJuQ==" saltValue="ifYLmoGsiGhj1nMjZxI0+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260</v>
      </c>
      <c r="C8" s="119"/>
      <c r="D8" s="119"/>
      <c r="E8" s="119"/>
      <c r="F8" s="120"/>
      <c r="G8" s="1"/>
    </row>
    <row r="9" spans="1:7" x14ac:dyDescent="0.25">
      <c r="A9" s="1"/>
      <c r="B9" s="87" t="s">
        <v>17</v>
      </c>
      <c r="C9" s="87" t="s">
        <v>11</v>
      </c>
      <c r="D9" s="88"/>
      <c r="E9" s="87" t="s">
        <v>28</v>
      </c>
      <c r="F9" s="32"/>
      <c r="G9" s="1"/>
    </row>
    <row r="10" spans="1:7" x14ac:dyDescent="0.25">
      <c r="A10" s="1"/>
      <c r="B10" s="24" t="s">
        <v>287</v>
      </c>
      <c r="C10" s="21">
        <v>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0"/>
      <c r="C16" s="150"/>
      <c r="D16" s="150"/>
      <c r="E16" s="150"/>
      <c r="F16" s="150"/>
      <c r="G16" s="1"/>
    </row>
    <row r="17" spans="1:7" x14ac:dyDescent="0.25">
      <c r="A17" s="1"/>
      <c r="B17" s="53"/>
      <c r="C17" s="53"/>
      <c r="D17" s="53"/>
      <c r="E17" s="53"/>
      <c r="F17" s="54"/>
      <c r="G17" s="1"/>
    </row>
    <row r="18" spans="1:7" x14ac:dyDescent="0.25">
      <c r="A18" s="1"/>
      <c r="B18" s="55"/>
      <c r="C18" s="56"/>
      <c r="D18" s="57"/>
      <c r="E18" s="58"/>
      <c r="F18" s="57"/>
      <c r="G18" s="1"/>
    </row>
    <row r="19" spans="1:7" x14ac:dyDescent="0.25">
      <c r="A19" s="1"/>
      <c r="B19" s="55"/>
      <c r="C19" s="56"/>
      <c r="D19" s="57"/>
      <c r="E19" s="58"/>
      <c r="F19" s="57"/>
      <c r="G19" s="1"/>
    </row>
    <row r="20" spans="1:7" x14ac:dyDescent="0.25">
      <c r="A20" s="1"/>
      <c r="B20" s="59"/>
      <c r="C20" s="60"/>
      <c r="D20" s="61"/>
      <c r="E20" s="60"/>
      <c r="F20" s="61"/>
      <c r="G20" s="1"/>
    </row>
    <row r="21" spans="1:7" x14ac:dyDescent="0.25">
      <c r="A21" s="1"/>
      <c r="B21" s="59"/>
      <c r="C21" s="60"/>
      <c r="D21" s="61"/>
      <c r="E21" s="60"/>
      <c r="F21" s="61"/>
      <c r="G21" s="1"/>
    </row>
    <row r="22" spans="1:7" x14ac:dyDescent="0.25">
      <c r="A22" s="1"/>
      <c r="B22" s="52"/>
      <c r="C22" s="52"/>
      <c r="D22" s="52"/>
      <c r="E22" s="52"/>
      <c r="F22" s="52"/>
      <c r="G22" s="1"/>
    </row>
    <row r="23" spans="1:7" x14ac:dyDescent="0.25">
      <c r="A23" s="1"/>
      <c r="B23" s="150"/>
      <c r="C23" s="150"/>
      <c r="D23" s="150"/>
      <c r="E23" s="150"/>
      <c r="F23" s="150"/>
      <c r="G23" s="1"/>
    </row>
    <row r="24" spans="1:7" x14ac:dyDescent="0.25">
      <c r="A24" s="1"/>
      <c r="B24" s="53"/>
      <c r="C24" s="53"/>
      <c r="D24" s="53"/>
      <c r="E24" s="53"/>
      <c r="F24" s="54"/>
      <c r="G24" s="1"/>
    </row>
    <row r="25" spans="1:7" x14ac:dyDescent="0.25">
      <c r="A25" s="1"/>
      <c r="B25" s="55"/>
      <c r="C25" s="56"/>
      <c r="D25" s="57"/>
      <c r="E25" s="58"/>
      <c r="F25" s="57"/>
      <c r="G25" s="1"/>
    </row>
    <row r="26" spans="1:7" x14ac:dyDescent="0.25">
      <c r="A26" s="1"/>
      <c r="B26" s="55"/>
      <c r="C26" s="56"/>
      <c r="D26" s="57"/>
      <c r="E26" s="58"/>
      <c r="F26" s="57"/>
      <c r="G26" s="1"/>
    </row>
    <row r="27" spans="1:7" x14ac:dyDescent="0.25">
      <c r="A27" s="1"/>
      <c r="B27" s="59"/>
      <c r="C27" s="60"/>
      <c r="D27" s="61"/>
      <c r="E27" s="60"/>
      <c r="F27" s="61"/>
      <c r="G27" s="1"/>
    </row>
    <row r="28" spans="1:7" x14ac:dyDescent="0.25">
      <c r="A28" s="1"/>
      <c r="B28" s="59"/>
      <c r="C28" s="60"/>
      <c r="D28" s="61"/>
      <c r="E28" s="60"/>
      <c r="F28" s="61"/>
      <c r="G28" s="1"/>
    </row>
    <row r="29" spans="1:7" x14ac:dyDescent="0.25">
      <c r="A29" s="1"/>
      <c r="B29" s="52"/>
      <c r="C29" s="52"/>
      <c r="D29" s="52"/>
      <c r="E29" s="52"/>
      <c r="F29" s="52"/>
      <c r="G29" s="1"/>
    </row>
    <row r="30" spans="1:7" x14ac:dyDescent="0.25">
      <c r="A30" s="1"/>
      <c r="B30" s="150"/>
      <c r="C30" s="150"/>
      <c r="D30" s="150"/>
      <c r="E30" s="150"/>
      <c r="F30" s="150"/>
      <c r="G30" s="1"/>
    </row>
    <row r="31" spans="1:7" x14ac:dyDescent="0.25">
      <c r="A31" s="1"/>
      <c r="B31" s="53"/>
      <c r="C31" s="53"/>
      <c r="D31" s="53"/>
      <c r="E31" s="53"/>
      <c r="F31" s="54"/>
      <c r="G31" s="1"/>
    </row>
    <row r="32" spans="1:7" x14ac:dyDescent="0.25">
      <c r="A32" s="1"/>
      <c r="B32" s="55"/>
      <c r="C32" s="56"/>
      <c r="D32" s="57"/>
      <c r="E32" s="58"/>
      <c r="F32" s="57"/>
      <c r="G32" s="1"/>
    </row>
    <row r="33" spans="1:7" x14ac:dyDescent="0.25">
      <c r="A33" s="1"/>
      <c r="B33" s="55"/>
      <c r="C33" s="56"/>
      <c r="D33" s="57"/>
      <c r="E33" s="58"/>
      <c r="F33" s="57"/>
      <c r="G33" s="1"/>
    </row>
    <row r="34" spans="1:7" x14ac:dyDescent="0.25">
      <c r="A34" s="1"/>
      <c r="B34" s="59"/>
      <c r="C34" s="60"/>
      <c r="D34" s="61"/>
      <c r="E34" s="60"/>
      <c r="F34" s="61"/>
      <c r="G34" s="1"/>
    </row>
    <row r="35" spans="1:7" x14ac:dyDescent="0.25">
      <c r="A35" s="1"/>
      <c r="B35" s="59"/>
      <c r="C35" s="60"/>
      <c r="D35" s="61"/>
      <c r="E35" s="60"/>
      <c r="F35" s="6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2oEvfzA0E9mvF5WiWGFuJ8PPijy8x9F3SgJEj7SmPZkdM00T7a/aWRaj4gPWr+1dg6Fpi3wSG9zhU/80vi6wg==" saltValue="uexLSDdTB6L7moL3kdXh0Q=="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8" t="s">
        <v>110</v>
      </c>
      <c r="C9" s="119"/>
      <c r="D9" s="119"/>
      <c r="E9" s="119"/>
      <c r="F9" s="120"/>
      <c r="G9" s="1"/>
    </row>
    <row r="10" spans="1:7" x14ac:dyDescent="0.25">
      <c r="A10" s="1"/>
      <c r="B10" s="142" t="s">
        <v>236</v>
      </c>
      <c r="C10" s="143"/>
      <c r="D10" s="144"/>
      <c r="E10" s="9">
        <v>2250346.0954232761</v>
      </c>
      <c r="F10" s="14" t="s">
        <v>3</v>
      </c>
      <c r="G10" s="1"/>
    </row>
    <row r="11" spans="1:7" x14ac:dyDescent="0.25">
      <c r="A11" s="1"/>
      <c r="B11" s="151" t="s">
        <v>10</v>
      </c>
      <c r="C11" s="152"/>
      <c r="D11" s="153"/>
      <c r="E11" s="9">
        <f>-E10*'Fane 5. Individuelt eff. krav'!G9</f>
        <v>-32711.734486058809</v>
      </c>
      <c r="F11" s="14" t="s">
        <v>3</v>
      </c>
      <c r="G11" s="1"/>
    </row>
    <row r="12" spans="1:7" x14ac:dyDescent="0.25">
      <c r="A12" s="1"/>
      <c r="B12" s="151" t="s">
        <v>23</v>
      </c>
      <c r="C12" s="152"/>
      <c r="D12" s="153"/>
      <c r="E12" s="9">
        <f>-E10*'Fane 15. Nøgletal'!C33</f>
        <v>-45006.92190846552</v>
      </c>
      <c r="F12" s="14" t="s">
        <v>3</v>
      </c>
      <c r="G12" s="1"/>
    </row>
    <row r="13" spans="1:7" x14ac:dyDescent="0.25">
      <c r="A13" s="1"/>
      <c r="B13" s="118" t="s">
        <v>111</v>
      </c>
      <c r="C13" s="119"/>
      <c r="D13" s="120"/>
      <c r="E13" s="12">
        <f>SUM(E10:E12)*(1+'Fane 15. Nøgletal'!C16)^2</f>
        <v>2537908.3355793385</v>
      </c>
      <c r="F13" s="13" t="s">
        <v>3</v>
      </c>
      <c r="G13" s="1"/>
    </row>
    <row r="14" spans="1:7" x14ac:dyDescent="0.25">
      <c r="A14" s="1"/>
      <c r="B14" s="1"/>
      <c r="C14" s="1"/>
      <c r="D14" s="1"/>
      <c r="E14" s="1"/>
      <c r="F14" s="1"/>
      <c r="G14" s="1"/>
    </row>
    <row r="15" spans="1:7" ht="15" customHeight="1" x14ac:dyDescent="0.25">
      <c r="A15" s="1"/>
      <c r="B15" s="118" t="s">
        <v>124</v>
      </c>
      <c r="C15" s="119"/>
      <c r="D15" s="119"/>
      <c r="E15" s="119"/>
      <c r="F15" s="120"/>
      <c r="G15" s="1"/>
    </row>
    <row r="16" spans="1:7" x14ac:dyDescent="0.25">
      <c r="A16" s="1"/>
      <c r="B16" s="142" t="s">
        <v>236</v>
      </c>
      <c r="C16" s="143"/>
      <c r="D16" s="144"/>
      <c r="E16" s="9">
        <v>2225913.3742087409</v>
      </c>
      <c r="F16" s="14" t="s">
        <v>3</v>
      </c>
      <c r="G16" s="1"/>
    </row>
    <row r="17" spans="1:7" x14ac:dyDescent="0.25">
      <c r="A17" s="1"/>
      <c r="B17" s="151" t="s">
        <v>10</v>
      </c>
      <c r="C17" s="152"/>
      <c r="D17" s="153"/>
      <c r="E17" s="9">
        <f>-E16*'Fane 5. Individuelt eff. krav'!G9</f>
        <v>-32356.572810809277</v>
      </c>
      <c r="F17" s="14" t="s">
        <v>3</v>
      </c>
      <c r="G17" s="1"/>
    </row>
    <row r="18" spans="1:7" x14ac:dyDescent="0.25">
      <c r="A18" s="1"/>
      <c r="B18" s="151" t="s">
        <v>23</v>
      </c>
      <c r="C18" s="152"/>
      <c r="D18" s="153"/>
      <c r="E18" s="9">
        <f>-E16*'Fane 15. Nøgletal'!C33</f>
        <v>-44518.267484174816</v>
      </c>
      <c r="F18" s="14" t="s">
        <v>3</v>
      </c>
      <c r="G18" s="1"/>
    </row>
    <row r="19" spans="1:7" x14ac:dyDescent="0.25">
      <c r="A19" s="1"/>
      <c r="B19" s="118" t="s">
        <v>125</v>
      </c>
      <c r="C19" s="119"/>
      <c r="D19" s="120"/>
      <c r="E19" s="12">
        <f>SUM(E16:E18)*(1+'Fane 15. Nøgletal'!C16)^3</f>
        <v>2713190.0194904744</v>
      </c>
      <c r="F19" s="13" t="s">
        <v>3</v>
      </c>
      <c r="G19" s="1"/>
    </row>
    <row r="20" spans="1:7" x14ac:dyDescent="0.25">
      <c r="A20" s="1"/>
      <c r="B20" s="1"/>
      <c r="C20" s="1"/>
      <c r="D20" s="1"/>
      <c r="E20" s="1"/>
      <c r="F20" s="1"/>
      <c r="G20" s="1"/>
    </row>
    <row r="21" spans="1:7" ht="15" customHeight="1" x14ac:dyDescent="0.25">
      <c r="A21" s="1"/>
      <c r="B21" s="118" t="s">
        <v>145</v>
      </c>
      <c r="C21" s="119"/>
      <c r="D21" s="119"/>
      <c r="E21" s="119"/>
      <c r="F21" s="120"/>
      <c r="G21" s="1"/>
    </row>
    <row r="22" spans="1:7" x14ac:dyDescent="0.25">
      <c r="A22" s="1"/>
      <c r="B22" s="142" t="s">
        <v>236</v>
      </c>
      <c r="C22" s="143"/>
      <c r="D22" s="144"/>
      <c r="E22" s="9">
        <v>2225913.3742087409</v>
      </c>
      <c r="F22" s="14" t="s">
        <v>3</v>
      </c>
      <c r="G22" s="1"/>
    </row>
    <row r="23" spans="1:7" x14ac:dyDescent="0.25">
      <c r="A23" s="1"/>
      <c r="B23" s="151" t="s">
        <v>10</v>
      </c>
      <c r="C23" s="152"/>
      <c r="D23" s="153"/>
      <c r="E23" s="9">
        <f>-E22*'Fane 5. Individuelt eff. krav'!G9</f>
        <v>-32356.572810809277</v>
      </c>
      <c r="F23" s="14" t="s">
        <v>3</v>
      </c>
      <c r="G23" s="1"/>
    </row>
    <row r="24" spans="1:7" x14ac:dyDescent="0.25">
      <c r="A24" s="1"/>
      <c r="B24" s="151" t="s">
        <v>23</v>
      </c>
      <c r="C24" s="152"/>
      <c r="D24" s="153"/>
      <c r="E24" s="9">
        <f>-E22*'Fane 15. Nøgletal'!C33</f>
        <v>-44518.267484174816</v>
      </c>
      <c r="F24" s="14" t="s">
        <v>3</v>
      </c>
      <c r="G24" s="1"/>
    </row>
    <row r="25" spans="1:7" x14ac:dyDescent="0.25">
      <c r="A25" s="1"/>
      <c r="B25" s="118" t="s">
        <v>146</v>
      </c>
      <c r="C25" s="119"/>
      <c r="D25" s="120"/>
      <c r="E25" s="12">
        <f>SUM(E22:E24)*(1+'Fane 15. Nøgletal'!C16)^4</f>
        <v>2932415.7730653048</v>
      </c>
      <c r="F25" s="13" t="s">
        <v>3</v>
      </c>
      <c r="G25" s="1"/>
    </row>
    <row r="26" spans="1:7" x14ac:dyDescent="0.25">
      <c r="A26" s="1"/>
      <c r="B26" s="1"/>
      <c r="C26" s="1"/>
      <c r="D26" s="1"/>
      <c r="E26" s="1"/>
      <c r="F26" s="1"/>
      <c r="G26" s="1"/>
    </row>
    <row r="27" spans="1:7" ht="15" customHeight="1" x14ac:dyDescent="0.25">
      <c r="A27" s="1"/>
      <c r="B27" s="118" t="s">
        <v>237</v>
      </c>
      <c r="C27" s="119"/>
      <c r="D27" s="119"/>
      <c r="E27" s="119"/>
      <c r="F27" s="120"/>
      <c r="G27" s="1"/>
    </row>
    <row r="28" spans="1:7" ht="14.25" customHeight="1" x14ac:dyDescent="0.25">
      <c r="A28" s="1"/>
      <c r="B28" s="142" t="s">
        <v>236</v>
      </c>
      <c r="C28" s="143"/>
      <c r="D28" s="144"/>
      <c r="E28" s="9">
        <v>2225913.3742087409</v>
      </c>
      <c r="F28" s="14" t="s">
        <v>3</v>
      </c>
      <c r="G28" s="1"/>
    </row>
    <row r="29" spans="1:7" x14ac:dyDescent="0.25">
      <c r="A29" s="1"/>
      <c r="B29" s="151" t="s">
        <v>10</v>
      </c>
      <c r="C29" s="152"/>
      <c r="D29" s="153"/>
      <c r="E29" s="9">
        <f>-E28*'Fane 5. Individuelt eff. krav'!G9</f>
        <v>-32356.572810809277</v>
      </c>
      <c r="F29" s="14" t="s">
        <v>3</v>
      </c>
      <c r="G29" s="1"/>
    </row>
    <row r="30" spans="1:7" x14ac:dyDescent="0.25">
      <c r="A30" s="1"/>
      <c r="B30" s="151" t="s">
        <v>23</v>
      </c>
      <c r="C30" s="152"/>
      <c r="D30" s="153"/>
      <c r="E30" s="9">
        <f>-E28*'Fane 15. Nøgletal'!C33</f>
        <v>-44518.267484174816</v>
      </c>
      <c r="F30" s="14" t="s">
        <v>3</v>
      </c>
      <c r="G30" s="1"/>
    </row>
    <row r="31" spans="1:7" x14ac:dyDescent="0.25">
      <c r="A31" s="1"/>
      <c r="B31" s="118" t="s">
        <v>238</v>
      </c>
      <c r="C31" s="119"/>
      <c r="D31" s="120"/>
      <c r="E31" s="12">
        <f>SUM(E28:E30)*(1+'Fane 15. Nøgletal'!C16)^5</f>
        <v>3169354.9675289812</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tQzq7n8HMU2PkoWHsOtDMD+2Pp12cZWTM3/sWPGSZq2ssf+UknhkqwV/qBt6nkct0cbQtaBcuSDYl24eALf9TA==" saltValue="Hu+r13FkkBBulzR/AR3zH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conditionalFormatting sqref="E10">
    <cfRule type="containsBlanks" dxfId="0" priority="4">
      <formula>LEN(TRIM(E10))=0</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112</v>
      </c>
      <c r="C8" s="119"/>
      <c r="D8" s="119"/>
      <c r="E8" s="119"/>
      <c r="F8" s="120"/>
      <c r="G8" s="1"/>
    </row>
    <row r="9" spans="1:7" ht="15" customHeight="1" x14ac:dyDescent="0.25">
      <c r="A9" s="1"/>
      <c r="B9" s="31" t="s">
        <v>113</v>
      </c>
      <c r="C9" s="31" t="s">
        <v>11</v>
      </c>
      <c r="D9" s="32"/>
      <c r="E9" s="31" t="s">
        <v>28</v>
      </c>
      <c r="F9" s="32"/>
      <c r="G9" s="1"/>
    </row>
    <row r="10" spans="1:7" ht="26.25" x14ac:dyDescent="0.25">
      <c r="A10" s="1"/>
      <c r="B10" s="69" t="s">
        <v>279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Sigh5xxCZdT2839uZmQsCg9lcZzLljSxOOkktLzR00sEYotgVMyXjLxv3sw9O6H6BGGins/jaC11GdxdWZrOMw==" saltValue="v+zQOxPGNHap98CtkioRZ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240</v>
      </c>
      <c r="C9" s="119"/>
      <c r="D9" s="119"/>
      <c r="E9" s="119"/>
      <c r="F9" s="120"/>
      <c r="G9" s="1"/>
    </row>
    <row r="10" spans="1:7" ht="26.25" customHeight="1" x14ac:dyDescent="0.25">
      <c r="A10" s="1"/>
      <c r="B10" s="31" t="s">
        <v>18</v>
      </c>
      <c r="C10" s="145" t="s">
        <v>11</v>
      </c>
      <c r="D10" s="147"/>
      <c r="E10" s="145" t="s">
        <v>28</v>
      </c>
      <c r="F10" s="147"/>
      <c r="G10" s="1"/>
    </row>
    <row r="11" spans="1:7" x14ac:dyDescent="0.25">
      <c r="A11" s="1"/>
      <c r="B11" s="69" t="s">
        <v>280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0"/>
      <c r="C15" s="150"/>
      <c r="D15" s="150"/>
      <c r="E15" s="150"/>
      <c r="F15" s="150"/>
      <c r="G15" s="1"/>
    </row>
    <row r="16" spans="1:7" x14ac:dyDescent="0.25">
      <c r="A16" s="1"/>
      <c r="B16" s="54"/>
      <c r="C16" s="54"/>
      <c r="D16" s="54"/>
      <c r="E16" s="54"/>
      <c r="F16" s="54"/>
      <c r="G16" s="1"/>
    </row>
    <row r="17" spans="1:7" x14ac:dyDescent="0.25">
      <c r="A17" s="1"/>
      <c r="B17" s="55"/>
      <c r="C17" s="58"/>
      <c r="D17" s="57"/>
      <c r="E17" s="58"/>
      <c r="F17" s="57"/>
      <c r="G17" s="1"/>
    </row>
    <row r="18" spans="1:7" x14ac:dyDescent="0.25">
      <c r="A18" s="1"/>
      <c r="B18" s="59"/>
      <c r="C18" s="60"/>
      <c r="D18" s="61"/>
      <c r="E18" s="60"/>
      <c r="F18" s="61"/>
      <c r="G18" s="1"/>
    </row>
    <row r="19" spans="1:7" x14ac:dyDescent="0.25">
      <c r="A19" s="1"/>
      <c r="B19" s="59"/>
      <c r="C19" s="60"/>
      <c r="D19" s="61"/>
      <c r="E19" s="60"/>
      <c r="F19" s="61"/>
      <c r="G19" s="1"/>
    </row>
    <row r="20" spans="1:7" x14ac:dyDescent="0.25">
      <c r="A20" s="1"/>
      <c r="B20" s="52"/>
      <c r="C20" s="52"/>
      <c r="D20" s="52"/>
      <c r="E20" s="52"/>
      <c r="F20" s="52"/>
      <c r="G20" s="1"/>
    </row>
    <row r="21" spans="1:7" x14ac:dyDescent="0.25">
      <c r="A21" s="1"/>
      <c r="B21" s="150"/>
      <c r="C21" s="150"/>
      <c r="D21" s="150"/>
      <c r="E21" s="150"/>
      <c r="F21" s="150"/>
      <c r="G21" s="1"/>
    </row>
    <row r="22" spans="1:7" x14ac:dyDescent="0.25">
      <c r="A22" s="1"/>
      <c r="B22" s="54"/>
      <c r="C22" s="54"/>
      <c r="D22" s="54"/>
      <c r="E22" s="54"/>
      <c r="F22" s="54"/>
      <c r="G22" s="1"/>
    </row>
    <row r="23" spans="1:7" x14ac:dyDescent="0.25">
      <c r="A23" s="1"/>
      <c r="B23" s="55"/>
      <c r="C23" s="58"/>
      <c r="D23" s="57"/>
      <c r="E23" s="58"/>
      <c r="F23" s="57"/>
      <c r="G23" s="1"/>
    </row>
    <row r="24" spans="1:7" x14ac:dyDescent="0.25">
      <c r="A24" s="1"/>
      <c r="B24" s="59"/>
      <c r="C24" s="60"/>
      <c r="D24" s="61"/>
      <c r="E24" s="60"/>
      <c r="F24" s="61"/>
      <c r="G24" s="1"/>
    </row>
    <row r="25" spans="1:7" x14ac:dyDescent="0.25">
      <c r="A25" s="1"/>
      <c r="B25" s="59"/>
      <c r="C25" s="60"/>
      <c r="D25" s="61"/>
      <c r="E25" s="60"/>
      <c r="F25" s="61"/>
      <c r="G25" s="1"/>
    </row>
    <row r="26" spans="1:7" x14ac:dyDescent="0.25">
      <c r="A26" s="1"/>
      <c r="B26" s="52"/>
      <c r="C26" s="52"/>
      <c r="D26" s="52"/>
      <c r="E26" s="52"/>
      <c r="F26" s="52"/>
      <c r="G26" s="1"/>
    </row>
    <row r="27" spans="1:7" x14ac:dyDescent="0.25">
      <c r="A27" s="1"/>
      <c r="B27" s="150"/>
      <c r="C27" s="150"/>
      <c r="D27" s="150"/>
      <c r="E27" s="150"/>
      <c r="F27" s="150"/>
      <c r="G27" s="1"/>
    </row>
    <row r="28" spans="1:7" x14ac:dyDescent="0.25">
      <c r="A28" s="1"/>
      <c r="B28" s="54"/>
      <c r="C28" s="54"/>
      <c r="D28" s="54"/>
      <c r="E28" s="54"/>
      <c r="F28" s="54"/>
      <c r="G28" s="1"/>
    </row>
    <row r="29" spans="1:7" x14ac:dyDescent="0.25">
      <c r="A29" s="1"/>
      <c r="B29" s="55"/>
      <c r="C29" s="58"/>
      <c r="D29" s="57"/>
      <c r="E29" s="58"/>
      <c r="F29" s="57"/>
      <c r="G29" s="1"/>
    </row>
    <row r="30" spans="1:7" x14ac:dyDescent="0.25">
      <c r="A30" s="1"/>
      <c r="B30" s="59"/>
      <c r="C30" s="60"/>
      <c r="D30" s="61"/>
      <c r="E30" s="60"/>
      <c r="F30" s="61"/>
      <c r="G30" s="1"/>
    </row>
    <row r="31" spans="1:7" x14ac:dyDescent="0.25">
      <c r="A31" s="1"/>
      <c r="B31" s="59"/>
      <c r="C31" s="60"/>
      <c r="D31" s="61"/>
      <c r="E31" s="60"/>
      <c r="F31" s="6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ZwEQ7I7qo/R8NSAvBzSxgydEJHswFzuFsi251AxBXsuE5AfytRWbe0bByXSLJXpVNzyhwWgqxkRSN8bDk1MS1A==" saltValue="uISxT3oX8RYjeVbYq4ZQng=="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75015090.150743693</v>
      </c>
      <c r="D9" s="8" t="s">
        <v>3</v>
      </c>
      <c r="E9" s="1"/>
    </row>
    <row r="10" spans="1:5" ht="17.25" customHeight="1" x14ac:dyDescent="0.25">
      <c r="A10" s="1"/>
      <c r="B10" s="89" t="s">
        <v>36</v>
      </c>
      <c r="C10" s="7">
        <f>'Fane 11.1. Varige tillæg'!C20</f>
        <v>22180.177599999999</v>
      </c>
      <c r="D10" s="8" t="s">
        <v>3</v>
      </c>
      <c r="E10" s="1"/>
    </row>
    <row r="11" spans="1:5" ht="17.25" customHeight="1" x14ac:dyDescent="0.25">
      <c r="A11" s="1"/>
      <c r="B11" s="89" t="s">
        <v>37</v>
      </c>
      <c r="C11" s="9">
        <f>'Fane 11.1. Varige tillæg'!E20</f>
        <v>10348334.449457947</v>
      </c>
      <c r="D11" s="8" t="s">
        <v>3</v>
      </c>
      <c r="E11" s="1"/>
    </row>
    <row r="12" spans="1:5" ht="17.25" customHeight="1" x14ac:dyDescent="0.25">
      <c r="A12" s="1"/>
      <c r="B12" s="89" t="s">
        <v>26</v>
      </c>
      <c r="C12" s="9">
        <f>-'Fane 14. Bortfald'!C13</f>
        <v>0</v>
      </c>
      <c r="D12" s="8" t="s">
        <v>3</v>
      </c>
      <c r="E12" s="1"/>
    </row>
    <row r="13" spans="1:5" ht="17.25" customHeight="1" x14ac:dyDescent="0.25">
      <c r="A13" s="1"/>
      <c r="B13" s="89" t="s">
        <v>25</v>
      </c>
      <c r="C13" s="9">
        <f>-'Fane 14. Bortfald'!E13</f>
        <v>0</v>
      </c>
      <c r="D13" s="8" t="s">
        <v>3</v>
      </c>
      <c r="E13" s="1"/>
    </row>
    <row r="14" spans="1:5" ht="17.25" customHeight="1" x14ac:dyDescent="0.25">
      <c r="A14" s="1"/>
      <c r="B14" s="89" t="s">
        <v>105</v>
      </c>
      <c r="C14" s="9">
        <f>'Fane 13. Tilknyttet virksomhed'!C14</f>
        <v>0</v>
      </c>
      <c r="D14" s="8" t="s">
        <v>3</v>
      </c>
      <c r="E14" s="1"/>
    </row>
    <row r="15" spans="1:5" ht="17.25" customHeight="1" x14ac:dyDescent="0.25">
      <c r="A15" s="1"/>
      <c r="B15" s="89" t="s">
        <v>106</v>
      </c>
      <c r="C15" s="9">
        <f>'Fane 13. Tilknyttet virksomhed'!E14</f>
        <v>0</v>
      </c>
      <c r="D15" s="8" t="s">
        <v>3</v>
      </c>
      <c r="E15" s="1"/>
    </row>
    <row r="16" spans="1:5" ht="17.25" customHeight="1" x14ac:dyDescent="0.25">
      <c r="A16" s="1"/>
      <c r="B16" s="89" t="s">
        <v>19</v>
      </c>
      <c r="C16" s="42">
        <f>SUM(C9)*'Fane 15. Nøgletal'!C16+SUM(C10:C15)*'Fane 15. Nøgletal'!C16</f>
        <v>6899156.8660463719</v>
      </c>
      <c r="D16" s="8" t="s">
        <v>3</v>
      </c>
      <c r="E16" s="1"/>
    </row>
    <row r="17" spans="1:5" ht="17.25" customHeight="1" x14ac:dyDescent="0.25">
      <c r="A17" s="1"/>
      <c r="B17" s="89" t="s">
        <v>10</v>
      </c>
      <c r="C17" s="42">
        <f>-SUM(C9,C10:C16)*'Fane 5. Individuelt eff. krav'!G9</f>
        <v>-1341480.1510498158</v>
      </c>
      <c r="D17" s="8" t="s">
        <v>3</v>
      </c>
      <c r="E17" s="1"/>
    </row>
    <row r="18" spans="1:5" ht="17.25" customHeight="1" x14ac:dyDescent="0.25">
      <c r="A18" s="1"/>
      <c r="B18" s="89" t="s">
        <v>23</v>
      </c>
      <c r="C18" s="42">
        <f>-'Fane 4.1. Gen. krav - drift'!G54</f>
        <v>-357981.22116424481</v>
      </c>
      <c r="D18" s="8" t="s">
        <v>3</v>
      </c>
      <c r="E18" s="1"/>
    </row>
    <row r="19" spans="1:5" ht="17.25" customHeight="1" x14ac:dyDescent="0.25">
      <c r="A19" s="1"/>
      <c r="B19" s="89" t="s">
        <v>24</v>
      </c>
      <c r="C19" s="42">
        <f>-'Fane 4.2. Gen. krav - anlæg'!G55</f>
        <v>0</v>
      </c>
      <c r="D19" s="8" t="s">
        <v>3</v>
      </c>
      <c r="E19" s="48"/>
    </row>
    <row r="20" spans="1:5" ht="17.25" customHeight="1" x14ac:dyDescent="0.25">
      <c r="A20" s="1"/>
      <c r="B20" s="83" t="s">
        <v>21</v>
      </c>
      <c r="C20" s="10">
        <f>SUM(C9:C19)</f>
        <v>90585300.271633938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24372218.928145662</v>
      </c>
      <c r="D22" s="11" t="s">
        <v>3</v>
      </c>
      <c r="E22" s="1"/>
    </row>
    <row r="23" spans="1:5" ht="15" customHeight="1" x14ac:dyDescent="0.25">
      <c r="A23" s="1"/>
      <c r="B23" s="33" t="s">
        <v>74</v>
      </c>
      <c r="C23" s="28"/>
      <c r="D23" s="19"/>
      <c r="E23" s="1"/>
    </row>
    <row r="24" spans="1:5" ht="15" customHeight="1" x14ac:dyDescent="0.25">
      <c r="A24" s="1"/>
      <c r="B24" s="83" t="s">
        <v>74</v>
      </c>
      <c r="C24" s="10">
        <f>'Fane 12. Periodevise driftsomk.'!E13</f>
        <v>2537908.3355793385</v>
      </c>
      <c r="D24" s="11" t="s">
        <v>3</v>
      </c>
      <c r="E24" s="1"/>
    </row>
    <row r="25" spans="1:5" ht="15" customHeight="1" x14ac:dyDescent="0.25">
      <c r="A25" s="1"/>
      <c r="B25" s="45" t="s">
        <v>73</v>
      </c>
      <c r="C25" s="43"/>
      <c r="D25" s="44"/>
      <c r="E25" s="1"/>
    </row>
    <row r="26" spans="1:5" ht="15" customHeight="1" x14ac:dyDescent="0.25">
      <c r="A26" s="1"/>
      <c r="B26" s="89" t="s">
        <v>158</v>
      </c>
      <c r="C26" s="72">
        <f>'Fane 11.2. Engangstillæg'!C14</f>
        <v>0</v>
      </c>
      <c r="D26" s="8" t="s">
        <v>3</v>
      </c>
      <c r="E26" s="1"/>
    </row>
    <row r="27" spans="1:5" ht="15" customHeight="1" x14ac:dyDescent="0.25">
      <c r="A27" s="1"/>
      <c r="B27" s="89" t="s">
        <v>70</v>
      </c>
      <c r="C27" s="72">
        <f>'Fane 11.2. Engangstillæg'!E14</f>
        <v>0</v>
      </c>
      <c r="D27" s="8" t="s">
        <v>3</v>
      </c>
      <c r="E27" s="1"/>
    </row>
    <row r="28" spans="1:5" ht="15" customHeight="1" x14ac:dyDescent="0.25">
      <c r="A28" s="1"/>
      <c r="B28" s="89" t="s">
        <v>161</v>
      </c>
      <c r="C28" s="72">
        <f>-C26*('Fane 15. Nøgletal'!C33+'Fane 5. Individuelt eff. krav'!G9)</f>
        <v>0</v>
      </c>
      <c r="D28" s="8" t="s">
        <v>3</v>
      </c>
      <c r="E28" s="1"/>
    </row>
    <row r="29" spans="1:5" ht="15" customHeight="1" x14ac:dyDescent="0.25">
      <c r="A29" s="1"/>
      <c r="B29" s="89" t="s">
        <v>162</v>
      </c>
      <c r="C29" s="72">
        <f>-C27*('Fane 15. Nøgletal'!C28+'Fane 5. Individuelt eff. krav'!G9)</f>
        <v>0</v>
      </c>
      <c r="D29" s="8" t="s">
        <v>3</v>
      </c>
      <c r="E29" s="1"/>
    </row>
    <row r="30" spans="1:5" ht="15" customHeight="1" x14ac:dyDescent="0.25">
      <c r="A30" s="1"/>
      <c r="B30" s="68"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-1160405.5611952795</v>
      </c>
      <c r="D34" s="11" t="s">
        <v>3</v>
      </c>
      <c r="E34" s="1"/>
    </row>
    <row r="35" spans="1:5" x14ac:dyDescent="0.25">
      <c r="A35" s="1"/>
      <c r="B35" s="30" t="s">
        <v>135</v>
      </c>
      <c r="C35" s="28"/>
      <c r="D35" s="19"/>
      <c r="E35" s="1"/>
    </row>
    <row r="36" spans="1:5" x14ac:dyDescent="0.25">
      <c r="A36" s="1"/>
      <c r="B36" s="68" t="s">
        <v>136</v>
      </c>
      <c r="C36" s="10">
        <f>'Fane 8. Skattesagen'!G13</f>
        <v>0</v>
      </c>
      <c r="D36" s="11" t="s">
        <v>3</v>
      </c>
      <c r="E36" s="1"/>
    </row>
    <row r="37" spans="1:5" x14ac:dyDescent="0.25">
      <c r="A37" s="1"/>
      <c r="B37" s="33" t="s">
        <v>108</v>
      </c>
      <c r="C37" s="50">
        <f>SUM(C34,C32,C24,C30,C22,C20,C36)</f>
        <v>116335021.97416365</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wgA2U0KSWBCfzuY5wi86ShimZnFYFNwKHshkkWIJxb86RnGnvRa4wrLtVMeROWZP64ADGLq2dsByE2gIEwLO+Q==" saltValue="AOSduvH04mv1eGaByKCzI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2" t="s">
        <v>94</v>
      </c>
      <c r="C9" s="25">
        <v>1.2699999999999999E-2</v>
      </c>
      <c r="D9" s="1"/>
    </row>
    <row r="10" spans="1:4" x14ac:dyDescent="0.25">
      <c r="A10" s="1"/>
      <c r="B10" s="82" t="s">
        <v>95</v>
      </c>
      <c r="C10" s="25">
        <v>1.7500000000000002E-2</v>
      </c>
      <c r="D10" s="1"/>
    </row>
    <row r="11" spans="1:4" x14ac:dyDescent="0.25">
      <c r="A11" s="1"/>
      <c r="B11" s="82"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2" t="s">
        <v>133</v>
      </c>
      <c r="C14" s="40">
        <v>3.3E-3</v>
      </c>
      <c r="D14" s="1"/>
    </row>
    <row r="15" spans="1:4" x14ac:dyDescent="0.25">
      <c r="A15" s="1"/>
      <c r="B15" s="34" t="s">
        <v>152</v>
      </c>
      <c r="C15" s="35">
        <v>3.56E-2</v>
      </c>
      <c r="D15" s="1"/>
    </row>
    <row r="16" spans="1:4" x14ac:dyDescent="0.25">
      <c r="A16" s="1"/>
      <c r="B16" s="65" t="s">
        <v>190</v>
      </c>
      <c r="C16" s="67">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2" t="s">
        <v>96</v>
      </c>
      <c r="C21" s="22">
        <v>9.1000000000000004E-3</v>
      </c>
      <c r="D21" s="1"/>
    </row>
    <row r="22" spans="1:4" x14ac:dyDescent="0.25">
      <c r="A22" s="1"/>
      <c r="B22" s="82" t="s">
        <v>118</v>
      </c>
      <c r="C22" s="22">
        <v>1.77E-2</v>
      </c>
      <c r="D22" s="1"/>
    </row>
    <row r="23" spans="1:4" x14ac:dyDescent="0.25">
      <c r="A23" s="1"/>
      <c r="B23" s="82" t="s">
        <v>119</v>
      </c>
      <c r="C23" s="22">
        <v>8.6999999999999994E-3</v>
      </c>
      <c r="D23" s="1"/>
    </row>
    <row r="24" spans="1:4" x14ac:dyDescent="0.25">
      <c r="A24" s="1"/>
      <c r="B24" s="82" t="s">
        <v>97</v>
      </c>
      <c r="C24" s="36">
        <v>2.8400000000000002E-2</v>
      </c>
      <c r="D24" s="1"/>
    </row>
    <row r="25" spans="1:4" x14ac:dyDescent="0.25">
      <c r="A25" s="1"/>
      <c r="B25" s="82" t="s">
        <v>120</v>
      </c>
      <c r="C25" s="36">
        <v>2.75E-2</v>
      </c>
      <c r="D25" s="1"/>
    </row>
    <row r="26" spans="1:4" x14ac:dyDescent="0.25">
      <c r="A26" s="1"/>
      <c r="B26" s="82" t="s">
        <v>121</v>
      </c>
      <c r="C26" s="36">
        <v>1.4800000000000001E-2</v>
      </c>
      <c r="D26" s="1"/>
    </row>
    <row r="27" spans="1:4" x14ac:dyDescent="0.25">
      <c r="A27" s="1"/>
      <c r="B27" s="34" t="s">
        <v>147</v>
      </c>
      <c r="C27" s="64">
        <v>0</v>
      </c>
      <c r="D27" s="1"/>
    </row>
    <row r="28" spans="1:4" x14ac:dyDescent="0.25">
      <c r="A28" s="1"/>
      <c r="B28" s="65" t="s">
        <v>191</v>
      </c>
      <c r="C28" s="66">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2"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oSKm+GeRG3v5MQH8CoQ4PoGOcCL0bOj1hidgo/hu4EDH9omwPKBq8DQzJ1UNd26dLsdMComJ8Prw/H5+2EQv1A==" saltValue="dvdTOnuISXoIi/YO7rUMo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90585300.271633938</v>
      </c>
      <c r="D9" s="8" t="s">
        <v>3</v>
      </c>
      <c r="E9" s="1"/>
    </row>
    <row r="10" spans="1:5" ht="15" customHeight="1" x14ac:dyDescent="0.25">
      <c r="A10" s="1"/>
      <c r="B10" s="26" t="s">
        <v>19</v>
      </c>
      <c r="C10" s="7">
        <f>SUM(C9:C9)*'Fane 15. Nøgletal'!C16</f>
        <v>7319292.2619480221</v>
      </c>
      <c r="D10" s="8" t="s">
        <v>3</v>
      </c>
      <c r="E10" s="1"/>
    </row>
    <row r="11" spans="1:5" ht="15" customHeight="1" x14ac:dyDescent="0.25">
      <c r="A11" s="1"/>
      <c r="B11" s="26" t="s">
        <v>10</v>
      </c>
      <c r="C11" s="9">
        <f>-SUM(C9:C10)*'Fane 5. Individuelt eff. krav'!G9</f>
        <v>-1423171.7700836209</v>
      </c>
      <c r="D11" s="8" t="s">
        <v>3</v>
      </c>
      <c r="E11" s="1"/>
    </row>
    <row r="12" spans="1:5" ht="15" customHeight="1" x14ac:dyDescent="0.25">
      <c r="A12" s="1"/>
      <c r="B12" s="26" t="s">
        <v>23</v>
      </c>
      <c r="C12" s="9">
        <f>-'Fane 4.1. Gen. krav - drift'!G59</f>
        <v>-379167.98175762955</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96102252.78174071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26303681.756739832</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driftsomk.'!E19</f>
        <v>2713190.0194904744</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68" t="s">
        <v>136</v>
      </c>
      <c r="C22" s="10">
        <f>'Fane 8. Skattesagen'!G14</f>
        <v>0</v>
      </c>
      <c r="D22" s="11" t="s">
        <v>3</v>
      </c>
      <c r="E22" s="1"/>
    </row>
    <row r="23" spans="1:5" x14ac:dyDescent="0.25">
      <c r="A23" s="1"/>
      <c r="B23" s="33" t="s">
        <v>122</v>
      </c>
      <c r="C23" s="12">
        <f>SUM(C14,C16,C18,C20,C22)</f>
        <v>125119124.55797103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HfEhVwyv6lz06h9oWmvfO8tl/HKhW6rKi33R5ejT4XItwtE38bvdiG86l7TVy37GjKraqPCreBhdVms5rWbg==" saltValue="PorOpBfI0BEpJh8nIfEpg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203</v>
      </c>
      <c r="C3" s="111"/>
      <c r="D3" s="111"/>
      <c r="E3" s="1"/>
    </row>
    <row r="4" spans="1:5" ht="15" customHeight="1" x14ac:dyDescent="0.25">
      <c r="A4" s="1"/>
      <c r="B4" s="111"/>
      <c r="C4" s="111"/>
      <c r="D4" s="111"/>
      <c r="E4" s="1"/>
    </row>
    <row r="5" spans="1:5" x14ac:dyDescent="0.25">
      <c r="A5" s="1"/>
      <c r="B5" s="112" t="s">
        <v>253</v>
      </c>
      <c r="C5" s="112"/>
      <c r="D5" s="112"/>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96102252.78174071</v>
      </c>
      <c r="D9" s="8" t="s">
        <v>3</v>
      </c>
      <c r="E9" s="1"/>
    </row>
    <row r="10" spans="1:5" ht="15" customHeight="1" x14ac:dyDescent="0.25">
      <c r="A10" s="1"/>
      <c r="B10" s="26" t="s">
        <v>19</v>
      </c>
      <c r="C10" s="7">
        <f>SUM(C9:C9)*'Fane 15. Nøgletal'!C16</f>
        <v>7765062.0247646486</v>
      </c>
      <c r="D10" s="8" t="s">
        <v>3</v>
      </c>
      <c r="E10" s="1"/>
    </row>
    <row r="11" spans="1:5" ht="15" customHeight="1" x14ac:dyDescent="0.25">
      <c r="A11" s="1"/>
      <c r="B11" s="26" t="s">
        <v>10</v>
      </c>
      <c r="C11" s="9">
        <f>-SUM(C9:C10)*'Fane 5. Individuelt eff. krav'!G9</f>
        <v>-1509847.765479472</v>
      </c>
      <c r="D11" s="8" t="s">
        <v>3</v>
      </c>
      <c r="E11" s="1"/>
    </row>
    <row r="12" spans="1:5" ht="15" customHeight="1" x14ac:dyDescent="0.25">
      <c r="A12" s="1"/>
      <c r="B12" s="26" t="s">
        <v>23</v>
      </c>
      <c r="C12" s="9">
        <f>-'Fane 4.1. Gen. krav - drift'!G64</f>
        <v>-401608.65958997305</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101955858.3814359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28391206.781884409</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driftsomk.'!E25</f>
        <v>2932415.7730653048</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8" t="s">
        <v>136</v>
      </c>
      <c r="C22" s="10">
        <f>'Fane 8. Skattesagen'!G15</f>
        <v>0</v>
      </c>
      <c r="D22" s="11" t="s">
        <v>3</v>
      </c>
      <c r="E22" s="1"/>
    </row>
    <row r="23" spans="1:5" x14ac:dyDescent="0.25">
      <c r="A23" s="1"/>
      <c r="B23" s="33" t="s">
        <v>140</v>
      </c>
      <c r="C23" s="12">
        <f>SUM(C14,C16,C18,C20,C22)</f>
        <v>133279480.9363856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DU4ng5ozqAErSciIyeDrLKjE8ih+nSleKb95Rxpe55aCQjQoTo5TO6QzATomaOnqSDruVKeVsDWJGSKCz1oA==" saltValue="i+2aadcvAvN8EfQiKbWd6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204</v>
      </c>
      <c r="C3" s="111"/>
      <c r="D3" s="111"/>
      <c r="E3" s="1"/>
      <c r="F3" s="1"/>
    </row>
    <row r="4" spans="1:6" ht="15" customHeight="1" x14ac:dyDescent="0.25">
      <c r="A4" s="1"/>
      <c r="B4" s="111"/>
      <c r="C4" s="111"/>
      <c r="D4" s="111"/>
      <c r="E4" s="1"/>
      <c r="F4" s="1"/>
    </row>
    <row r="5" spans="1:6" x14ac:dyDescent="0.25">
      <c r="A5" s="1"/>
      <c r="B5" s="112" t="s">
        <v>253</v>
      </c>
      <c r="C5" s="112"/>
      <c r="D5" s="112"/>
      <c r="E5" s="1"/>
      <c r="F5" s="1"/>
    </row>
    <row r="6" spans="1:6" x14ac:dyDescent="0.25">
      <c r="A6" s="1"/>
      <c r="B6" s="74"/>
      <c r="C6" s="74"/>
      <c r="D6" s="74"/>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101955858.3814359</v>
      </c>
      <c r="D9" s="8" t="s">
        <v>3</v>
      </c>
      <c r="E9" s="1"/>
      <c r="F9" s="1"/>
    </row>
    <row r="10" spans="1:6" ht="15" customHeight="1" x14ac:dyDescent="0.25">
      <c r="A10" s="1"/>
      <c r="B10" s="26" t="s">
        <v>19</v>
      </c>
      <c r="C10" s="7">
        <f>SUM(C9:C9)*'Fane 15. Nøgletal'!C16</f>
        <v>8238033.3572200201</v>
      </c>
      <c r="D10" s="8" t="s">
        <v>3</v>
      </c>
      <c r="E10" s="1"/>
      <c r="F10" s="1"/>
    </row>
    <row r="11" spans="1:6" ht="15" customHeight="1" x14ac:dyDescent="0.25">
      <c r="A11" s="1"/>
      <c r="B11" s="26" t="s">
        <v>10</v>
      </c>
      <c r="C11" s="9">
        <f>-SUM(C9:C10)*'Fane 5. Individuelt eff. krav'!G9</f>
        <v>-1601812.8659726952</v>
      </c>
      <c r="D11" s="8" t="s">
        <v>3</v>
      </c>
      <c r="E11" s="1"/>
      <c r="F11" s="1"/>
    </row>
    <row r="12" spans="1:6" ht="15" customHeight="1" x14ac:dyDescent="0.25">
      <c r="A12" s="1"/>
      <c r="B12" s="26" t="s">
        <v>23</v>
      </c>
      <c r="C12" s="9">
        <f>-'Fane 4.1. Gen. krav - drift'!G69</f>
        <v>-425377.46649914602</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108166701.40618408</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30647403.829060666</v>
      </c>
      <c r="D16" s="11" t="s">
        <v>3</v>
      </c>
      <c r="E16" s="1"/>
      <c r="F16" s="1"/>
    </row>
    <row r="17" spans="1:6" ht="15" customHeight="1" x14ac:dyDescent="0.25">
      <c r="A17" s="1"/>
      <c r="B17" s="33" t="s">
        <v>74</v>
      </c>
      <c r="C17" s="28"/>
      <c r="D17" s="19"/>
      <c r="E17" s="1"/>
      <c r="F17" s="1"/>
    </row>
    <row r="18" spans="1:6" ht="15" customHeight="1" x14ac:dyDescent="0.25">
      <c r="A18" s="1"/>
      <c r="B18" s="83" t="s">
        <v>74</v>
      </c>
      <c r="C18" s="10">
        <f>'Fane 12. Periodevise driftsomk.'!E31</f>
        <v>3169354.9675289812</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8" t="s">
        <v>136</v>
      </c>
      <c r="C22" s="10">
        <f>'Fane 8. Skattesagen'!G16</f>
        <v>0</v>
      </c>
      <c r="D22" s="11" t="s">
        <v>3</v>
      </c>
      <c r="E22" s="1"/>
      <c r="F22" s="1"/>
    </row>
    <row r="23" spans="1:6" x14ac:dyDescent="0.25">
      <c r="A23" s="1"/>
      <c r="B23" s="33" t="s">
        <v>209</v>
      </c>
      <c r="C23" s="12">
        <f>SUM(C14,C16,C18,C20,C22)</f>
        <v>141983460.20277372</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PX6zd+PFpmp6U2iVYef9yJARG/hhp/etsURQtO7CmP8Mon78/fw1ra3z+AtZvdUSV/eOKQbhXLOVouWzRxKsHg==" saltValue="eBIEqdLB15LCvTdqvc8vm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77047415.587299943</v>
      </c>
      <c r="D9" s="8" t="s">
        <v>3</v>
      </c>
      <c r="E9" s="1"/>
    </row>
    <row r="10" spans="1:5" x14ac:dyDescent="0.25">
      <c r="A10" s="1"/>
      <c r="B10" s="89" t="s">
        <v>36</v>
      </c>
      <c r="C10" s="7">
        <v>29371.687200000004</v>
      </c>
      <c r="D10" s="8" t="s">
        <v>3</v>
      </c>
      <c r="E10" s="1"/>
    </row>
    <row r="11" spans="1:5" x14ac:dyDescent="0.25">
      <c r="A11" s="1"/>
      <c r="B11" s="89" t="s">
        <v>37</v>
      </c>
      <c r="C11" s="9">
        <v>164725.6428</v>
      </c>
      <c r="D11" s="8" t="s">
        <v>3</v>
      </c>
      <c r="E11" s="1"/>
    </row>
    <row r="12" spans="1:5" x14ac:dyDescent="0.25">
      <c r="A12" s="1"/>
      <c r="B12" s="89" t="s">
        <v>26</v>
      </c>
      <c r="C12" s="9">
        <v>0</v>
      </c>
      <c r="D12" s="8" t="s">
        <v>3</v>
      </c>
      <c r="E12" s="1"/>
    </row>
    <row r="13" spans="1:5" x14ac:dyDescent="0.25">
      <c r="A13" s="1"/>
      <c r="B13" s="89" t="s">
        <v>25</v>
      </c>
      <c r="C13" s="9">
        <v>0</v>
      </c>
      <c r="D13" s="8" t="s">
        <v>3</v>
      </c>
      <c r="E13" s="1"/>
    </row>
    <row r="14" spans="1:5" x14ac:dyDescent="0.25">
      <c r="A14" s="1"/>
      <c r="B14" s="89" t="s">
        <v>105</v>
      </c>
      <c r="C14" s="9">
        <v>0</v>
      </c>
      <c r="D14" s="8" t="s">
        <v>3</v>
      </c>
      <c r="E14" s="1"/>
    </row>
    <row r="15" spans="1:5" x14ac:dyDescent="0.25">
      <c r="A15" s="1"/>
      <c r="B15" s="89" t="s">
        <v>106</v>
      </c>
      <c r="C15" s="9">
        <v>0</v>
      </c>
      <c r="D15" s="8" t="s">
        <v>3</v>
      </c>
      <c r="E15" s="1"/>
    </row>
    <row r="16" spans="1:5" x14ac:dyDescent="0.25">
      <c r="A16" s="1"/>
      <c r="B16" s="89" t="s">
        <v>19</v>
      </c>
      <c r="C16" s="42">
        <v>261166.33638608982</v>
      </c>
      <c r="D16" s="8" t="s">
        <v>3</v>
      </c>
      <c r="E16" s="1"/>
    </row>
    <row r="17" spans="1:5" x14ac:dyDescent="0.25">
      <c r="A17" s="1"/>
      <c r="B17" s="89" t="s">
        <v>10</v>
      </c>
      <c r="C17" s="42">
        <v>-1207470.8493383701</v>
      </c>
      <c r="D17" s="8" t="s">
        <v>3</v>
      </c>
      <c r="E17" s="1"/>
    </row>
    <row r="18" spans="1:5" x14ac:dyDescent="0.25">
      <c r="A18" s="1"/>
      <c r="B18" s="89" t="s">
        <v>23</v>
      </c>
      <c r="C18" s="42">
        <v>-337525.65601939155</v>
      </c>
      <c r="D18" s="8" t="s">
        <v>3</v>
      </c>
      <c r="E18" s="1"/>
    </row>
    <row r="19" spans="1:5" x14ac:dyDescent="0.25">
      <c r="A19" s="1"/>
      <c r="B19" s="89" t="s">
        <v>24</v>
      </c>
      <c r="C19" s="42">
        <v>-942592.59758456971</v>
      </c>
      <c r="D19" s="8" t="s">
        <v>3</v>
      </c>
      <c r="E19" s="48"/>
    </row>
    <row r="20" spans="1:5" x14ac:dyDescent="0.25">
      <c r="A20" s="1"/>
      <c r="B20" s="83" t="s">
        <v>21</v>
      </c>
      <c r="C20" s="10">
        <v>75015090.150743693</v>
      </c>
      <c r="D20" s="11" t="s">
        <v>3</v>
      </c>
      <c r="E20" s="1"/>
    </row>
    <row r="21" spans="1:5" x14ac:dyDescent="0.25">
      <c r="A21" s="1"/>
      <c r="B21" s="33" t="s">
        <v>12</v>
      </c>
      <c r="C21" s="28"/>
      <c r="D21" s="19"/>
      <c r="E21" s="1"/>
    </row>
    <row r="22" spans="1:5" x14ac:dyDescent="0.25">
      <c r="A22" s="1"/>
      <c r="B22" s="31" t="s">
        <v>12</v>
      </c>
      <c r="C22" s="10">
        <v>23881556.621518143</v>
      </c>
      <c r="D22" s="11" t="s">
        <v>3</v>
      </c>
      <c r="E22" s="1"/>
    </row>
    <row r="23" spans="1:5" x14ac:dyDescent="0.25">
      <c r="A23" s="1"/>
      <c r="B23" s="33" t="s">
        <v>74</v>
      </c>
      <c r="C23" s="28"/>
      <c r="D23" s="19"/>
      <c r="E23" s="1"/>
    </row>
    <row r="24" spans="1:5" x14ac:dyDescent="0.25">
      <c r="A24" s="1"/>
      <c r="B24" s="83" t="s">
        <v>74</v>
      </c>
      <c r="C24" s="10">
        <v>2396292.1616225732</v>
      </c>
      <c r="D24" s="11" t="s">
        <v>3</v>
      </c>
      <c r="E24" s="1"/>
    </row>
    <row r="25" spans="1:5" x14ac:dyDescent="0.25">
      <c r="A25" s="1"/>
      <c r="B25" s="45" t="s">
        <v>73</v>
      </c>
      <c r="C25" s="43"/>
      <c r="D25" s="44"/>
      <c r="E25" s="1"/>
    </row>
    <row r="26" spans="1:5" x14ac:dyDescent="0.25">
      <c r="A26" s="1"/>
      <c r="B26" s="89" t="s">
        <v>158</v>
      </c>
      <c r="C26" s="9">
        <v>0</v>
      </c>
      <c r="D26" s="8" t="s">
        <v>3</v>
      </c>
      <c r="E26" s="1"/>
    </row>
    <row r="27" spans="1:5" x14ac:dyDescent="0.25">
      <c r="A27" s="1"/>
      <c r="B27" s="89" t="s">
        <v>70</v>
      </c>
      <c r="C27" s="9">
        <v>0</v>
      </c>
      <c r="D27" s="8" t="s">
        <v>3</v>
      </c>
      <c r="E27" s="1"/>
    </row>
    <row r="28" spans="1:5" x14ac:dyDescent="0.25">
      <c r="A28" s="1"/>
      <c r="B28" s="89" t="s">
        <v>161</v>
      </c>
      <c r="C28" s="9">
        <v>0</v>
      </c>
      <c r="D28" s="8" t="s">
        <v>3</v>
      </c>
      <c r="E28" s="1"/>
    </row>
    <row r="29" spans="1:5" x14ac:dyDescent="0.25">
      <c r="A29" s="1"/>
      <c r="B29" s="89" t="s">
        <v>162</v>
      </c>
      <c r="C29" s="9">
        <v>0</v>
      </c>
      <c r="D29" s="8" t="s">
        <v>3</v>
      </c>
      <c r="E29" s="1"/>
    </row>
    <row r="30" spans="1:5" x14ac:dyDescent="0.25">
      <c r="A30" s="1"/>
      <c r="B30" s="68" t="s">
        <v>75</v>
      </c>
      <c r="C30" s="10">
        <v>0</v>
      </c>
      <c r="D30" s="11" t="s">
        <v>3</v>
      </c>
      <c r="E30" s="1"/>
    </row>
    <row r="31" spans="1:5" x14ac:dyDescent="0.25">
      <c r="A31" s="1"/>
      <c r="B31" s="33" t="s">
        <v>116</v>
      </c>
      <c r="C31" s="28"/>
      <c r="D31" s="19"/>
      <c r="E31" s="1"/>
    </row>
    <row r="32" spans="1:5" x14ac:dyDescent="0.25">
      <c r="A32" s="1"/>
      <c r="B32" s="31" t="s">
        <v>138</v>
      </c>
      <c r="C32" s="10">
        <v>2895896.8636504784</v>
      </c>
      <c r="D32" s="11" t="s">
        <v>3</v>
      </c>
      <c r="E32" s="1"/>
    </row>
    <row r="33" spans="1:5" x14ac:dyDescent="0.25">
      <c r="A33" s="1"/>
      <c r="B33" s="33" t="s">
        <v>276</v>
      </c>
      <c r="C33" s="28"/>
      <c r="D33" s="19"/>
      <c r="E33" s="1"/>
    </row>
    <row r="34" spans="1:5" x14ac:dyDescent="0.25">
      <c r="A34" s="1"/>
      <c r="B34" s="31" t="s">
        <v>276</v>
      </c>
      <c r="C34" s="10">
        <v>-1640676.9847920896</v>
      </c>
      <c r="D34" s="11" t="s">
        <v>3</v>
      </c>
      <c r="E34" s="1"/>
    </row>
    <row r="35" spans="1:5" x14ac:dyDescent="0.25">
      <c r="A35" s="1"/>
      <c r="B35" s="30" t="s">
        <v>135</v>
      </c>
      <c r="C35" s="28"/>
      <c r="D35" s="19"/>
      <c r="E35" s="1"/>
    </row>
    <row r="36" spans="1:5" x14ac:dyDescent="0.25">
      <c r="A36" s="1"/>
      <c r="B36" s="68" t="s">
        <v>136</v>
      </c>
      <c r="C36" s="10">
        <v>0</v>
      </c>
      <c r="D36" s="11" t="s">
        <v>3</v>
      </c>
      <c r="E36" s="1"/>
    </row>
    <row r="37" spans="1:5" x14ac:dyDescent="0.25">
      <c r="A37" s="1"/>
      <c r="B37" s="33" t="s">
        <v>277</v>
      </c>
      <c r="C37" s="50">
        <v>102548158.8127428</v>
      </c>
      <c r="D37" s="30" t="s">
        <v>3</v>
      </c>
      <c r="E37" s="1"/>
    </row>
    <row r="38" spans="1:5" ht="30" customHeight="1" x14ac:dyDescent="0.25">
      <c r="A38" s="1"/>
      <c r="B38" s="114" t="s">
        <v>278</v>
      </c>
      <c r="C38" s="114"/>
      <c r="D38" s="114"/>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yrkptknXKRFEvvNzGKLhd1C8kmSv1yPNu3hbhuZyUZY22yW/WST4GapycPEDV2xwJKmpZvg+IOOrGXKatYh7gQ==" saltValue="ZUr3GyFLBLBpRM+K1vwlS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8" t="s">
        <v>46</v>
      </c>
      <c r="C4" s="119"/>
      <c r="D4" s="119"/>
      <c r="E4" s="119"/>
      <c r="F4" s="119"/>
      <c r="G4" s="119"/>
      <c r="H4" s="120"/>
      <c r="I4" s="1"/>
    </row>
    <row r="5" spans="1:9" x14ac:dyDescent="0.25">
      <c r="A5" s="1"/>
      <c r="B5" s="121" t="s">
        <v>38</v>
      </c>
      <c r="C5" s="122"/>
      <c r="D5" s="122"/>
      <c r="E5" s="122"/>
      <c r="F5" s="123"/>
      <c r="G5" s="23">
        <v>17309332</v>
      </c>
      <c r="H5" s="14" t="s">
        <v>3</v>
      </c>
      <c r="I5" s="1"/>
    </row>
    <row r="6" spans="1:9" x14ac:dyDescent="0.25">
      <c r="A6" s="1"/>
      <c r="B6" s="115" t="s">
        <v>102</v>
      </c>
      <c r="C6" s="116"/>
      <c r="D6" s="116"/>
      <c r="E6" s="116"/>
      <c r="F6" s="117"/>
      <c r="G6" s="9">
        <v>3980608</v>
      </c>
      <c r="H6" s="14" t="s">
        <v>3</v>
      </c>
      <c r="I6" s="1"/>
    </row>
    <row r="7" spans="1:9" x14ac:dyDescent="0.25">
      <c r="A7" s="1"/>
      <c r="B7" s="121" t="s">
        <v>39</v>
      </c>
      <c r="C7" s="122"/>
      <c r="D7" s="122"/>
      <c r="E7" s="122"/>
      <c r="F7" s="123"/>
      <c r="G7" s="23">
        <f>SUM(G5:G6)*'Fane 15. Nøgletal'!C33</f>
        <v>425798.8</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8" t="s">
        <v>47</v>
      </c>
      <c r="C10" s="119"/>
      <c r="D10" s="119"/>
      <c r="E10" s="119"/>
      <c r="F10" s="119"/>
      <c r="G10" s="119"/>
      <c r="H10" s="120"/>
      <c r="I10" s="1"/>
    </row>
    <row r="11" spans="1:9" x14ac:dyDescent="0.25">
      <c r="A11" s="1"/>
      <c r="B11" s="121" t="s">
        <v>40</v>
      </c>
      <c r="C11" s="122"/>
      <c r="D11" s="122"/>
      <c r="E11" s="122"/>
      <c r="F11" s="123"/>
      <c r="G11" s="23">
        <f>(G5-G7)*(1+'Fane 15. Nøgletal'!C10)</f>
        <v>17178995.030999999</v>
      </c>
      <c r="H11" s="14" t="s">
        <v>3</v>
      </c>
      <c r="I11" s="1"/>
    </row>
    <row r="12" spans="1:9" ht="15" customHeight="1" x14ac:dyDescent="0.25">
      <c r="A12" s="1"/>
      <c r="B12" s="121" t="s">
        <v>103</v>
      </c>
      <c r="C12" s="122"/>
      <c r="D12" s="122"/>
      <c r="E12" s="122"/>
      <c r="F12" s="123"/>
      <c r="G12" s="9">
        <v>-6123.536860461506</v>
      </c>
      <c r="H12" s="14" t="s">
        <v>3</v>
      </c>
      <c r="I12" s="1"/>
    </row>
    <row r="13" spans="1:9" x14ac:dyDescent="0.25">
      <c r="A13" s="1"/>
      <c r="B13" s="115" t="s">
        <v>100</v>
      </c>
      <c r="C13" s="116"/>
      <c r="D13" s="116"/>
      <c r="E13" s="116"/>
      <c r="F13" s="117"/>
      <c r="G13" s="9">
        <v>3419907.04</v>
      </c>
      <c r="H13" s="14" t="s">
        <v>3</v>
      </c>
      <c r="I13" s="1"/>
    </row>
    <row r="14" spans="1:9" x14ac:dyDescent="0.25">
      <c r="A14" s="1"/>
      <c r="B14" s="124" t="s">
        <v>244</v>
      </c>
      <c r="C14" s="125"/>
      <c r="D14" s="125"/>
      <c r="E14" s="125"/>
      <c r="F14" s="126"/>
      <c r="G14" s="9">
        <v>0</v>
      </c>
      <c r="H14" s="14" t="s">
        <v>3</v>
      </c>
      <c r="I14" s="1"/>
    </row>
    <row r="15" spans="1:9" x14ac:dyDescent="0.25">
      <c r="A15" s="1"/>
      <c r="B15" s="121" t="s">
        <v>41</v>
      </c>
      <c r="C15" s="122"/>
      <c r="D15" s="122"/>
      <c r="E15" s="122"/>
      <c r="F15" s="123"/>
      <c r="G15" s="23">
        <f>SUM(G11:G14)*'Fane 15. Nøgletal'!C33</f>
        <v>411855.57068279071</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8" t="s">
        <v>48</v>
      </c>
      <c r="C18" s="119"/>
      <c r="D18" s="119"/>
      <c r="E18" s="119"/>
      <c r="F18" s="119"/>
      <c r="G18" s="119"/>
      <c r="H18" s="120"/>
      <c r="I18" s="1"/>
    </row>
    <row r="19" spans="1:9" x14ac:dyDescent="0.25">
      <c r="A19" s="1"/>
      <c r="B19" s="121" t="s">
        <v>42</v>
      </c>
      <c r="C19" s="122"/>
      <c r="D19" s="122"/>
      <c r="E19" s="122"/>
      <c r="F19" s="123"/>
      <c r="G19" s="23">
        <f>(SUM(G11:G12,G14)-(G15))*(1+'Fane 15. Nøgletal'!C10)</f>
        <v>17054333.702117242</v>
      </c>
      <c r="H19" s="14" t="s">
        <v>3</v>
      </c>
      <c r="I19" s="1"/>
    </row>
    <row r="20" spans="1:9" x14ac:dyDescent="0.25">
      <c r="A20" s="1"/>
      <c r="B20" s="124" t="s">
        <v>245</v>
      </c>
      <c r="C20" s="125"/>
      <c r="D20" s="125"/>
      <c r="E20" s="125"/>
      <c r="F20" s="126"/>
      <c r="G20" s="9">
        <v>0</v>
      </c>
      <c r="H20" s="14" t="s">
        <v>3</v>
      </c>
      <c r="I20" s="1"/>
    </row>
    <row r="21" spans="1:9" x14ac:dyDescent="0.25">
      <c r="A21" s="1"/>
      <c r="B21" s="121" t="s">
        <v>43</v>
      </c>
      <c r="C21" s="122"/>
      <c r="D21" s="122"/>
      <c r="E21" s="122"/>
      <c r="F21" s="123"/>
      <c r="G21" s="23">
        <f>SUM(G19:G20)*'Fane 15. Nøgletal'!C33</f>
        <v>341086.67404234485</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8" t="s">
        <v>49</v>
      </c>
      <c r="C24" s="119"/>
      <c r="D24" s="119"/>
      <c r="E24" s="119"/>
      <c r="F24" s="119"/>
      <c r="G24" s="119"/>
      <c r="H24" s="120"/>
      <c r="I24" s="1"/>
    </row>
    <row r="25" spans="1:9" x14ac:dyDescent="0.25">
      <c r="A25" s="1"/>
      <c r="B25" s="121" t="s">
        <v>44</v>
      </c>
      <c r="C25" s="122"/>
      <c r="D25" s="122"/>
      <c r="E25" s="122"/>
      <c r="F25" s="123"/>
      <c r="G25" s="23">
        <f>(G19+G20-G21)*(1+'Fane 15. Nøgletal'!C12)</f>
        <v>17042497.994527973</v>
      </c>
      <c r="H25" s="14" t="s">
        <v>3</v>
      </c>
      <c r="I25" s="1"/>
    </row>
    <row r="26" spans="1:9" x14ac:dyDescent="0.25">
      <c r="A26" s="1"/>
      <c r="B26" s="124" t="s">
        <v>246</v>
      </c>
      <c r="C26" s="125"/>
      <c r="D26" s="125"/>
      <c r="E26" s="125"/>
      <c r="F26" s="126"/>
      <c r="G26" s="9">
        <v>0</v>
      </c>
      <c r="H26" s="14" t="s">
        <v>3</v>
      </c>
      <c r="I26" s="1"/>
    </row>
    <row r="27" spans="1:9" x14ac:dyDescent="0.25">
      <c r="A27" s="1"/>
      <c r="B27" s="121" t="s">
        <v>45</v>
      </c>
      <c r="C27" s="122"/>
      <c r="D27" s="122"/>
      <c r="E27" s="122"/>
      <c r="F27" s="123"/>
      <c r="G27" s="23">
        <f>(G25+G26)*'Fane 15. Nøgletal'!C33</f>
        <v>340849.95989055949</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8" t="s">
        <v>52</v>
      </c>
      <c r="C30" s="119"/>
      <c r="D30" s="119"/>
      <c r="E30" s="119"/>
      <c r="F30" s="119"/>
      <c r="G30" s="119"/>
      <c r="H30" s="120"/>
      <c r="I30" s="1"/>
    </row>
    <row r="31" spans="1:9" x14ac:dyDescent="0.25">
      <c r="A31" s="1"/>
      <c r="B31" s="121" t="s">
        <v>53</v>
      </c>
      <c r="C31" s="122"/>
      <c r="D31" s="122"/>
      <c r="E31" s="122"/>
      <c r="F31" s="123"/>
      <c r="G31" s="23">
        <f>(G25+G26-G27)*(1+'Fane 15. Nøgletal'!C12)</f>
        <v>17030670.50091977</v>
      </c>
      <c r="H31" s="14" t="s">
        <v>3</v>
      </c>
      <c r="I31" s="1"/>
    </row>
    <row r="32" spans="1:9" x14ac:dyDescent="0.25">
      <c r="A32" s="1"/>
      <c r="B32" s="121" t="s">
        <v>243</v>
      </c>
      <c r="C32" s="122"/>
      <c r="D32" s="122"/>
      <c r="E32" s="122"/>
      <c r="F32" s="123"/>
      <c r="G32" s="70">
        <v>0</v>
      </c>
      <c r="H32" s="14" t="s">
        <v>3</v>
      </c>
      <c r="I32" s="1"/>
    </row>
    <row r="33" spans="1:9" x14ac:dyDescent="0.25">
      <c r="A33" s="1"/>
      <c r="B33" s="121" t="s">
        <v>54</v>
      </c>
      <c r="C33" s="122"/>
      <c r="D33" s="122"/>
      <c r="E33" s="122"/>
      <c r="F33" s="123"/>
      <c r="G33" s="23">
        <f>(G31+G32)*'Fane 15. Nøgletal'!C33</f>
        <v>340613.4100183954</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8" t="s">
        <v>126</v>
      </c>
      <c r="C36" s="119"/>
      <c r="D36" s="119"/>
      <c r="E36" s="119"/>
      <c r="F36" s="119"/>
      <c r="G36" s="119"/>
      <c r="H36" s="120"/>
      <c r="I36" s="1"/>
    </row>
    <row r="37" spans="1:9" x14ac:dyDescent="0.25">
      <c r="A37" s="1"/>
      <c r="B37" s="121" t="s">
        <v>68</v>
      </c>
      <c r="C37" s="122"/>
      <c r="D37" s="122"/>
      <c r="E37" s="122"/>
      <c r="F37" s="123"/>
      <c r="G37" s="23">
        <f>(G31+G32-G33)*(1+'Fane 15. Nøgletal'!C14)</f>
        <v>16745134.279301351</v>
      </c>
      <c r="H37" s="14" t="s">
        <v>3</v>
      </c>
      <c r="I37" s="1"/>
    </row>
    <row r="38" spans="1:9" x14ac:dyDescent="0.25">
      <c r="A38" s="1"/>
      <c r="B38" s="121" t="s">
        <v>242</v>
      </c>
      <c r="C38" s="122"/>
      <c r="D38" s="122"/>
      <c r="E38" s="122"/>
      <c r="F38" s="123"/>
      <c r="G38" s="23">
        <v>387985.08160893008</v>
      </c>
      <c r="H38" s="14" t="s">
        <v>3</v>
      </c>
      <c r="I38" s="1"/>
    </row>
    <row r="39" spans="1:9" x14ac:dyDescent="0.25">
      <c r="A39" s="1"/>
      <c r="B39" s="121" t="s">
        <v>128</v>
      </c>
      <c r="C39" s="122"/>
      <c r="D39" s="122"/>
      <c r="E39" s="122"/>
      <c r="F39" s="123"/>
      <c r="G39" s="23">
        <f>(G37+G38)*'Fane 15. Nøgletal'!C33</f>
        <v>342662.38721820567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8" t="s">
        <v>127</v>
      </c>
      <c r="C42" s="119"/>
      <c r="D42" s="119"/>
      <c r="E42" s="119"/>
      <c r="F42" s="119"/>
      <c r="G42" s="119"/>
      <c r="H42" s="120"/>
      <c r="I42" s="1"/>
    </row>
    <row r="43" spans="1:9" x14ac:dyDescent="0.25">
      <c r="A43" s="1"/>
      <c r="B43" s="121" t="s">
        <v>155</v>
      </c>
      <c r="C43" s="122"/>
      <c r="D43" s="122"/>
      <c r="E43" s="122"/>
      <c r="F43" s="123"/>
      <c r="G43" s="23">
        <f>(G37+G38-G39)*(1+'Fane 15. Nøgletal'!C14)</f>
        <v>16845865.48170526</v>
      </c>
      <c r="H43" s="14" t="s">
        <v>3</v>
      </c>
      <c r="I43" s="1"/>
    </row>
    <row r="44" spans="1:9" x14ac:dyDescent="0.25">
      <c r="A44" s="1"/>
      <c r="B44" s="127" t="s">
        <v>157</v>
      </c>
      <c r="C44" s="128"/>
      <c r="D44" s="128"/>
      <c r="E44" s="128"/>
      <c r="F44" s="129"/>
      <c r="G44" s="46">
        <v>30417.319264320005</v>
      </c>
      <c r="H44" s="14" t="s">
        <v>3</v>
      </c>
      <c r="I44" s="1"/>
    </row>
    <row r="45" spans="1:9" x14ac:dyDescent="0.25">
      <c r="A45" s="1"/>
      <c r="B45" s="121" t="s">
        <v>129</v>
      </c>
      <c r="C45" s="122"/>
      <c r="D45" s="122"/>
      <c r="E45" s="122"/>
      <c r="F45" s="123"/>
      <c r="G45" s="23">
        <f>SUM(G43:G44)*'Fane 15. Nøgletal'!C33</f>
        <v>337525.65601939155</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7"/>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8" t="s">
        <v>192</v>
      </c>
      <c r="C51" s="119"/>
      <c r="D51" s="119"/>
      <c r="E51" s="119"/>
      <c r="F51" s="119"/>
      <c r="G51" s="119"/>
      <c r="H51" s="120"/>
      <c r="I51" s="1"/>
    </row>
    <row r="52" spans="1:9" x14ac:dyDescent="0.25">
      <c r="A52" s="1"/>
      <c r="B52" s="121" t="s">
        <v>154</v>
      </c>
      <c r="C52" s="122"/>
      <c r="D52" s="122"/>
      <c r="E52" s="122"/>
      <c r="F52" s="123"/>
      <c r="G52" s="23">
        <f>(G43+G44-G45)*(1+'Fane 15. Nøgletal'!C16)</f>
        <v>17875088.722262163</v>
      </c>
      <c r="H52" s="14" t="s">
        <v>3</v>
      </c>
      <c r="I52" s="1"/>
    </row>
    <row r="53" spans="1:9" x14ac:dyDescent="0.25">
      <c r="A53" s="1"/>
      <c r="B53" s="79" t="s">
        <v>194</v>
      </c>
      <c r="C53" s="80"/>
      <c r="D53" s="80"/>
      <c r="E53" s="80"/>
      <c r="F53" s="81"/>
      <c r="G53" s="23">
        <f>('Fane 2.1. Økonomisk ramme 2024'!C10+'Fane 2.1. Økonomisk ramme 2024'!C12+'Fane 2.1. Økonomisk ramme 2024'!C14)*(1+'Fane 15. Nøgletal'!C16)</f>
        <v>23972.33595008</v>
      </c>
      <c r="H53" s="14" t="s">
        <v>3</v>
      </c>
      <c r="I53" s="1"/>
    </row>
    <row r="54" spans="1:9" x14ac:dyDescent="0.25">
      <c r="A54" s="1"/>
      <c r="B54" s="121" t="s">
        <v>210</v>
      </c>
      <c r="C54" s="122"/>
      <c r="D54" s="122"/>
      <c r="E54" s="122"/>
      <c r="F54" s="123"/>
      <c r="G54" s="23">
        <f>(G52)*'Fane 15. Nøgletal'!C33+(G53)*'Fane 15. Nøgletal'!C33</f>
        <v>357981.22116424481</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8" t="s">
        <v>193</v>
      </c>
      <c r="C57" s="119"/>
      <c r="D57" s="119"/>
      <c r="E57" s="119"/>
      <c r="F57" s="119"/>
      <c r="G57" s="119"/>
      <c r="H57" s="120"/>
      <c r="I57" s="1"/>
    </row>
    <row r="58" spans="1:9" x14ac:dyDescent="0.25">
      <c r="A58" s="1"/>
      <c r="B58" s="79" t="s">
        <v>212</v>
      </c>
      <c r="C58" s="80"/>
      <c r="D58" s="80"/>
      <c r="E58" s="80"/>
      <c r="F58" s="81"/>
      <c r="G58" s="23">
        <f>(G52+G53-G54)*(1+'Fane 15. Nøgletal'!C16)</f>
        <v>18958399.087881476</v>
      </c>
      <c r="H58" s="14" t="s">
        <v>3</v>
      </c>
      <c r="I58" s="1"/>
    </row>
    <row r="59" spans="1:9" x14ac:dyDescent="0.25">
      <c r="A59" s="1"/>
      <c r="B59" s="79" t="s">
        <v>211</v>
      </c>
      <c r="C59" s="80"/>
      <c r="D59" s="80"/>
      <c r="E59" s="80"/>
      <c r="F59" s="81"/>
      <c r="G59" s="23">
        <f>(G58)*'Fane 15. Nøgletal'!C33</f>
        <v>379167.98175762955</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8" t="s">
        <v>256</v>
      </c>
      <c r="C62" s="119"/>
      <c r="D62" s="119"/>
      <c r="E62" s="119"/>
      <c r="F62" s="119"/>
      <c r="G62" s="119"/>
      <c r="H62" s="120"/>
      <c r="I62" s="1"/>
    </row>
    <row r="63" spans="1:9" x14ac:dyDescent="0.25">
      <c r="A63" s="1"/>
      <c r="B63" s="79" t="s">
        <v>213</v>
      </c>
      <c r="C63" s="80"/>
      <c r="D63" s="80"/>
      <c r="E63" s="80"/>
      <c r="F63" s="81"/>
      <c r="G63" s="23">
        <f>(G58-G59)*(1+'Fane 15. Nøgletal'!C16)</f>
        <v>20080432.979498651</v>
      </c>
      <c r="H63" s="14" t="s">
        <v>3</v>
      </c>
      <c r="I63" s="1"/>
    </row>
    <row r="64" spans="1:9" x14ac:dyDescent="0.25">
      <c r="A64" s="1"/>
      <c r="B64" s="79" t="s">
        <v>214</v>
      </c>
      <c r="C64" s="80"/>
      <c r="D64" s="80"/>
      <c r="E64" s="80"/>
      <c r="F64" s="81"/>
      <c r="G64" s="23">
        <f>(G63)*'Fane 15. Nøgletal'!C33</f>
        <v>401608.65958997305</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8" t="s">
        <v>257</v>
      </c>
      <c r="C67" s="119"/>
      <c r="D67" s="119"/>
      <c r="E67" s="119"/>
      <c r="F67" s="119"/>
      <c r="G67" s="119"/>
      <c r="H67" s="120"/>
      <c r="I67" s="1"/>
    </row>
    <row r="68" spans="1:9" x14ac:dyDescent="0.25">
      <c r="A68" s="1"/>
      <c r="B68" s="79" t="s">
        <v>213</v>
      </c>
      <c r="C68" s="80"/>
      <c r="D68" s="80"/>
      <c r="E68" s="80"/>
      <c r="F68" s="81"/>
      <c r="G68" s="23">
        <f>(G63-G64)*(1+'Fane 15. Nøgletal'!C16)</f>
        <v>21268873.3249573</v>
      </c>
      <c r="H68" s="14" t="s">
        <v>3</v>
      </c>
      <c r="I68" s="1"/>
    </row>
    <row r="69" spans="1:9" x14ac:dyDescent="0.25">
      <c r="A69" s="1"/>
      <c r="B69" s="79" t="s">
        <v>214</v>
      </c>
      <c r="C69" s="80"/>
      <c r="D69" s="80"/>
      <c r="E69" s="80"/>
      <c r="F69" s="81"/>
      <c r="G69" s="23">
        <f>(G68)*'Fane 15. Nøgletal'!C33</f>
        <v>425377.46649914602</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2"/>
      <c r="B74" s="62"/>
      <c r="C74" s="62"/>
      <c r="D74" s="62"/>
      <c r="E74" s="62"/>
      <c r="F74" s="62"/>
      <c r="G74" s="62"/>
      <c r="H74" s="62"/>
      <c r="I74" s="62"/>
    </row>
    <row r="75" spans="1:9" x14ac:dyDescent="0.25">
      <c r="A75" s="62"/>
      <c r="B75" s="62"/>
      <c r="C75" s="62"/>
      <c r="D75" s="62"/>
      <c r="E75" s="62"/>
      <c r="F75" s="62"/>
      <c r="G75" s="62"/>
      <c r="H75" s="62"/>
      <c r="I75" s="62"/>
    </row>
    <row r="76" spans="1:9" x14ac:dyDescent="0.25">
      <c r="A76" s="62"/>
      <c r="B76" s="62"/>
      <c r="C76" s="62"/>
      <c r="D76" s="62"/>
      <c r="E76" s="62"/>
      <c r="F76" s="62"/>
      <c r="G76" s="62"/>
      <c r="H76" s="62"/>
      <c r="I76" s="62"/>
    </row>
    <row r="77" spans="1:9" x14ac:dyDescent="0.25">
      <c r="A77" s="62"/>
      <c r="B77" s="62"/>
      <c r="C77" s="62"/>
      <c r="D77" s="62"/>
      <c r="E77" s="62"/>
      <c r="F77" s="62"/>
      <c r="G77" s="62"/>
      <c r="H77" s="62"/>
      <c r="I77" s="62"/>
    </row>
    <row r="78" spans="1:9" x14ac:dyDescent="0.25">
      <c r="A78" s="62"/>
      <c r="B78" s="62"/>
      <c r="C78" s="62"/>
      <c r="D78" s="62"/>
      <c r="E78" s="62"/>
      <c r="F78" s="62"/>
      <c r="G78" s="62"/>
      <c r="H78" s="62"/>
      <c r="I78" s="62"/>
    </row>
    <row r="79" spans="1:9" x14ac:dyDescent="0.25">
      <c r="A79" s="62"/>
      <c r="B79" s="62"/>
      <c r="C79" s="62"/>
      <c r="D79" s="62"/>
      <c r="E79" s="62"/>
      <c r="F79" s="62"/>
      <c r="G79" s="62"/>
      <c r="H79" s="62"/>
      <c r="I79" s="62"/>
    </row>
    <row r="80" spans="1:9" x14ac:dyDescent="0.25">
      <c r="A80" s="62"/>
      <c r="B80" s="62"/>
      <c r="C80" s="62"/>
      <c r="D80" s="62"/>
      <c r="E80" s="62"/>
      <c r="F80" s="62"/>
      <c r="G80" s="62"/>
      <c r="H80" s="62"/>
      <c r="I80" s="62"/>
    </row>
    <row r="81" spans="1:9" x14ac:dyDescent="0.25">
      <c r="A81" s="62"/>
      <c r="B81" s="62"/>
      <c r="C81" s="62"/>
      <c r="D81" s="62"/>
      <c r="E81" s="62"/>
      <c r="F81" s="62"/>
      <c r="G81" s="62"/>
      <c r="H81" s="62"/>
      <c r="I81" s="62"/>
    </row>
    <row r="82" spans="1:9" x14ac:dyDescent="0.25">
      <c r="A82" s="62"/>
      <c r="B82" s="62"/>
      <c r="C82" s="62"/>
      <c r="D82" s="62"/>
      <c r="E82" s="62"/>
      <c r="F82" s="62"/>
      <c r="G82" s="62"/>
      <c r="H82" s="62"/>
      <c r="I82" s="62"/>
    </row>
    <row r="83" spans="1:9" x14ac:dyDescent="0.25">
      <c r="A83" s="62"/>
      <c r="B83" s="62"/>
      <c r="C83" s="62"/>
      <c r="D83" s="62"/>
      <c r="E83" s="62"/>
      <c r="F83" s="62"/>
      <c r="G83" s="62"/>
      <c r="H83" s="62"/>
      <c r="I83" s="62"/>
    </row>
    <row r="84" spans="1:9" x14ac:dyDescent="0.25">
      <c r="A84" s="62"/>
      <c r="B84" s="62"/>
      <c r="C84" s="62"/>
      <c r="D84" s="62"/>
      <c r="E84" s="62"/>
      <c r="F84" s="62"/>
      <c r="G84" s="62"/>
      <c r="H84" s="62"/>
      <c r="I84" s="62"/>
    </row>
    <row r="85" spans="1:9" x14ac:dyDescent="0.25">
      <c r="A85" s="62"/>
      <c r="B85" s="62"/>
      <c r="C85" s="62"/>
      <c r="D85" s="62"/>
      <c r="E85" s="62"/>
      <c r="F85" s="62"/>
      <c r="G85" s="62"/>
      <c r="H85" s="62"/>
      <c r="I85" s="62"/>
    </row>
    <row r="86" spans="1:9" x14ac:dyDescent="0.25">
      <c r="A86" s="62"/>
      <c r="B86" s="62"/>
      <c r="C86" s="62"/>
      <c r="D86" s="62"/>
      <c r="E86" s="62"/>
      <c r="F86" s="62"/>
      <c r="G86" s="62"/>
      <c r="H86" s="62"/>
      <c r="I86" s="62"/>
    </row>
    <row r="87" spans="1:9" x14ac:dyDescent="0.25">
      <c r="A87" s="62"/>
      <c r="B87" s="62"/>
      <c r="C87" s="62"/>
      <c r="D87" s="62"/>
      <c r="E87" s="62"/>
      <c r="F87" s="62"/>
      <c r="G87" s="62"/>
      <c r="H87" s="62"/>
      <c r="I87" s="62"/>
    </row>
    <row r="88" spans="1:9" x14ac:dyDescent="0.25">
      <c r="A88" s="62"/>
      <c r="B88" s="62"/>
      <c r="C88" s="62"/>
      <c r="D88" s="62"/>
      <c r="E88" s="62"/>
      <c r="F88" s="62"/>
      <c r="G88" s="62"/>
      <c r="H88" s="62"/>
      <c r="I88" s="62"/>
    </row>
    <row r="89" spans="1:9" x14ac:dyDescent="0.25">
      <c r="A89" s="62"/>
      <c r="B89" s="62"/>
      <c r="C89" s="62"/>
      <c r="D89" s="62"/>
      <c r="E89" s="62"/>
      <c r="F89" s="62"/>
      <c r="G89" s="62"/>
      <c r="H89" s="62"/>
      <c r="I89" s="62"/>
    </row>
    <row r="90" spans="1:9" x14ac:dyDescent="0.25">
      <c r="A90" s="62"/>
      <c r="B90" s="62"/>
      <c r="C90" s="62"/>
      <c r="D90" s="62"/>
      <c r="E90" s="62"/>
      <c r="F90" s="62"/>
      <c r="G90" s="62"/>
      <c r="H90" s="62"/>
      <c r="I90" s="62"/>
    </row>
    <row r="91" spans="1:9" x14ac:dyDescent="0.25">
      <c r="A91" s="62"/>
      <c r="B91" s="62"/>
      <c r="C91" s="62"/>
      <c r="D91" s="62"/>
      <c r="E91" s="62"/>
      <c r="F91" s="62"/>
      <c r="G91" s="62"/>
      <c r="H91" s="62"/>
      <c r="I91" s="62"/>
    </row>
    <row r="92" spans="1:9" x14ac:dyDescent="0.25">
      <c r="A92" s="62"/>
      <c r="B92" s="62"/>
      <c r="C92" s="62"/>
      <c r="D92" s="62"/>
      <c r="E92" s="62"/>
      <c r="F92" s="62"/>
      <c r="G92" s="62"/>
      <c r="H92" s="62"/>
      <c r="I92" s="62"/>
    </row>
    <row r="93" spans="1:9" x14ac:dyDescent="0.25">
      <c r="A93" s="62"/>
      <c r="B93" s="62"/>
      <c r="C93" s="62"/>
      <c r="D93" s="62"/>
      <c r="E93" s="62"/>
      <c r="F93" s="62"/>
      <c r="G93" s="62"/>
      <c r="H93" s="62"/>
      <c r="I93" s="62"/>
    </row>
    <row r="94" spans="1:9" x14ac:dyDescent="0.25">
      <c r="A94" s="62"/>
      <c r="B94" s="62"/>
      <c r="C94" s="62"/>
      <c r="D94" s="62"/>
      <c r="E94" s="62"/>
      <c r="F94" s="62"/>
      <c r="G94" s="62"/>
      <c r="H94" s="62"/>
      <c r="I94" s="62"/>
    </row>
    <row r="95" spans="1:9" x14ac:dyDescent="0.25">
      <c r="A95" s="62"/>
      <c r="B95" s="62"/>
      <c r="C95" s="62"/>
      <c r="D95" s="62"/>
      <c r="E95" s="62"/>
      <c r="F95" s="62"/>
      <c r="G95" s="62"/>
      <c r="H95" s="62"/>
      <c r="I95" s="62"/>
    </row>
    <row r="96" spans="1:9" x14ac:dyDescent="0.25">
      <c r="A96" s="62"/>
      <c r="B96" s="62"/>
      <c r="C96" s="62"/>
      <c r="D96" s="62"/>
      <c r="E96" s="62"/>
      <c r="F96" s="62"/>
      <c r="G96" s="62"/>
      <c r="H96" s="62"/>
      <c r="I96" s="62"/>
    </row>
    <row r="97" spans="1:9" x14ac:dyDescent="0.25">
      <c r="A97" s="62"/>
      <c r="B97" s="62"/>
      <c r="C97" s="62"/>
      <c r="D97" s="62"/>
      <c r="E97" s="62"/>
      <c r="F97" s="62"/>
      <c r="G97" s="62"/>
      <c r="H97" s="62"/>
      <c r="I97" s="62"/>
    </row>
    <row r="98" spans="1:9" x14ac:dyDescent="0.25">
      <c r="A98" s="62"/>
      <c r="B98" s="62"/>
      <c r="C98" s="62"/>
      <c r="D98" s="62"/>
      <c r="E98" s="62"/>
      <c r="F98" s="62"/>
      <c r="G98" s="62"/>
      <c r="H98" s="62"/>
      <c r="I98" s="62"/>
    </row>
    <row r="99" spans="1:9" x14ac:dyDescent="0.25">
      <c r="A99" s="62"/>
      <c r="B99" s="62"/>
      <c r="C99" s="62"/>
      <c r="D99" s="62"/>
      <c r="E99" s="62"/>
      <c r="F99" s="62"/>
      <c r="G99" s="62"/>
      <c r="H99" s="62"/>
      <c r="I99" s="62"/>
    </row>
  </sheetData>
  <sheetProtection algorithmName="SHA-512" hashValue="R/p4q2O31JgJMuYjthP9ifqsL0v68klkEAYMojSSMnVqvhCFi59XYcR2NqQ2/6pNhYzevx/hkBerNBZ/LgbaWA==" saltValue="/J7JamOF+AWDVOlp/1uOpA=="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0" t="s">
        <v>92</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8" t="s">
        <v>50</v>
      </c>
      <c r="C4" s="119"/>
      <c r="D4" s="119"/>
      <c r="E4" s="119"/>
      <c r="F4" s="119"/>
      <c r="G4" s="119"/>
      <c r="H4" s="120"/>
      <c r="I4" s="1"/>
    </row>
    <row r="5" spans="1:9" x14ac:dyDescent="0.25">
      <c r="A5" s="1"/>
      <c r="B5" s="121" t="s">
        <v>55</v>
      </c>
      <c r="C5" s="122"/>
      <c r="D5" s="122"/>
      <c r="E5" s="122"/>
      <c r="F5" s="123"/>
      <c r="G5" s="23">
        <v>58430043</v>
      </c>
      <c r="H5" s="14" t="s">
        <v>3</v>
      </c>
      <c r="I5" s="1"/>
    </row>
    <row r="6" spans="1:9" x14ac:dyDescent="0.25">
      <c r="A6" s="1"/>
      <c r="B6" s="121" t="s">
        <v>51</v>
      </c>
      <c r="C6" s="122"/>
      <c r="D6" s="122"/>
      <c r="E6" s="122"/>
      <c r="F6" s="123"/>
      <c r="G6" s="23">
        <f>G5*'Fane 15. Nøgletal'!C21</f>
        <v>531713.39130000002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8" t="s">
        <v>56</v>
      </c>
      <c r="C9" s="119"/>
      <c r="D9" s="119"/>
      <c r="E9" s="119"/>
      <c r="F9" s="119"/>
      <c r="G9" s="119"/>
      <c r="H9" s="120"/>
      <c r="I9" s="1"/>
    </row>
    <row r="10" spans="1:9" x14ac:dyDescent="0.25">
      <c r="A10" s="1"/>
      <c r="B10" s="121" t="s">
        <v>57</v>
      </c>
      <c r="C10" s="122"/>
      <c r="D10" s="122"/>
      <c r="E10" s="122"/>
      <c r="F10" s="123"/>
      <c r="G10" s="23">
        <f>(G5-G6)*(1+'Fane 15. Nøgletal'!C10)</f>
        <v>58911550.376852252</v>
      </c>
      <c r="H10" s="14" t="s">
        <v>3</v>
      </c>
      <c r="I10" s="1"/>
    </row>
    <row r="11" spans="1:9" x14ac:dyDescent="0.25">
      <c r="A11" s="1"/>
      <c r="B11" s="121" t="s">
        <v>104</v>
      </c>
      <c r="C11" s="122"/>
      <c r="D11" s="122"/>
      <c r="E11" s="122"/>
      <c r="F11" s="123"/>
      <c r="G11" s="71">
        <v>-139425.16915224554</v>
      </c>
      <c r="H11" s="14" t="s">
        <v>3</v>
      </c>
      <c r="I11" s="1"/>
    </row>
    <row r="12" spans="1:9" x14ac:dyDescent="0.25">
      <c r="A12" s="1"/>
      <c r="B12" s="124" t="s">
        <v>247</v>
      </c>
      <c r="C12" s="125"/>
      <c r="D12" s="125"/>
      <c r="E12" s="125"/>
      <c r="F12" s="126"/>
      <c r="G12" s="9">
        <v>0</v>
      </c>
      <c r="H12" s="14" t="s">
        <v>3</v>
      </c>
      <c r="I12" s="1"/>
    </row>
    <row r="13" spans="1:9" x14ac:dyDescent="0.25">
      <c r="A13" s="1"/>
      <c r="B13" s="121" t="s">
        <v>58</v>
      </c>
      <c r="C13" s="122"/>
      <c r="D13" s="122"/>
      <c r="E13" s="122"/>
      <c r="F13" s="123"/>
      <c r="G13" s="23">
        <f>SUM(G10:G12)*'Fane 15. Nøgletal'!C22</f>
        <v>1040266.6161762901</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8" t="s">
        <v>59</v>
      </c>
      <c r="C16" s="119"/>
      <c r="D16" s="119"/>
      <c r="E16" s="119"/>
      <c r="F16" s="119"/>
      <c r="G16" s="119"/>
      <c r="H16" s="120"/>
      <c r="I16" s="1"/>
    </row>
    <row r="17" spans="1:9" x14ac:dyDescent="0.25">
      <c r="A17" s="1"/>
      <c r="B17" s="121" t="s">
        <v>60</v>
      </c>
      <c r="C17" s="122"/>
      <c r="D17" s="122"/>
      <c r="E17" s="122"/>
      <c r="F17" s="123"/>
      <c r="G17" s="23">
        <f>(SUM(G10:G12)-G13)*(1+'Fane 15. Nøgletal'!C10)</f>
        <v>58742166.11687538</v>
      </c>
      <c r="H17" s="14" t="s">
        <v>3</v>
      </c>
      <c r="I17" s="1"/>
    </row>
    <row r="18" spans="1:9" x14ac:dyDescent="0.25">
      <c r="A18" s="1"/>
      <c r="B18" s="124" t="s">
        <v>248</v>
      </c>
      <c r="C18" s="125"/>
      <c r="D18" s="125"/>
      <c r="E18" s="125"/>
      <c r="F18" s="126"/>
      <c r="G18" s="9">
        <v>0</v>
      </c>
      <c r="H18" s="14" t="s">
        <v>3</v>
      </c>
      <c r="I18" s="1"/>
    </row>
    <row r="19" spans="1:9" x14ac:dyDescent="0.25">
      <c r="A19" s="1"/>
      <c r="B19" s="121" t="s">
        <v>61</v>
      </c>
      <c r="C19" s="122"/>
      <c r="D19" s="122"/>
      <c r="E19" s="122"/>
      <c r="F19" s="123"/>
      <c r="G19" s="23">
        <f>G17*'Fane 15. Nøgletal'!C22+G18*'Fane 15. Nøgletal'!C23</f>
        <v>1039736.3402686942</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8" t="s">
        <v>62</v>
      </c>
      <c r="C22" s="119"/>
      <c r="D22" s="119"/>
      <c r="E22" s="119"/>
      <c r="F22" s="119"/>
      <c r="G22" s="119"/>
      <c r="H22" s="120"/>
      <c r="I22" s="1"/>
    </row>
    <row r="23" spans="1:9" x14ac:dyDescent="0.25">
      <c r="A23" s="1"/>
      <c r="B23" s="121" t="s">
        <v>63</v>
      </c>
      <c r="C23" s="122"/>
      <c r="D23" s="122"/>
      <c r="E23" s="122"/>
      <c r="F23" s="123"/>
      <c r="G23" s="23">
        <f>(G17+G18-G19)*(1+'Fane 15. Nøgletal'!C12)</f>
        <v>58839167.643205844</v>
      </c>
      <c r="H23" s="14" t="s">
        <v>3</v>
      </c>
      <c r="I23" s="1"/>
    </row>
    <row r="24" spans="1:9" x14ac:dyDescent="0.25">
      <c r="A24" s="1"/>
      <c r="B24" s="124" t="s">
        <v>249</v>
      </c>
      <c r="C24" s="125"/>
      <c r="D24" s="125"/>
      <c r="E24" s="125"/>
      <c r="F24" s="126"/>
      <c r="G24" s="23">
        <v>1801021.5673481196</v>
      </c>
      <c r="H24" s="14" t="s">
        <v>3</v>
      </c>
      <c r="I24" s="1"/>
    </row>
    <row r="25" spans="1:9" x14ac:dyDescent="0.25">
      <c r="A25" s="1"/>
      <c r="B25" s="121" t="s">
        <v>64</v>
      </c>
      <c r="C25" s="122"/>
      <c r="D25" s="122"/>
      <c r="E25" s="122"/>
      <c r="F25" s="123"/>
      <c r="G25" s="23">
        <f>(G23+G24)*'Fane 15. Nøgletal'!C24</f>
        <v>1722181.3735797328</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8" t="s">
        <v>65</v>
      </c>
      <c r="C28" s="119"/>
      <c r="D28" s="119"/>
      <c r="E28" s="119"/>
      <c r="F28" s="119"/>
      <c r="G28" s="119"/>
      <c r="H28" s="120"/>
      <c r="I28" s="1"/>
    </row>
    <row r="29" spans="1:9" x14ac:dyDescent="0.25">
      <c r="A29" s="1"/>
      <c r="B29" s="121" t="s">
        <v>66</v>
      </c>
      <c r="C29" s="122"/>
      <c r="D29" s="122"/>
      <c r="E29" s="122"/>
      <c r="F29" s="123"/>
      <c r="G29" s="23">
        <f>(G23+G24-G25)*(1+'Fane 15. Nøgletal'!C12)</f>
        <v>60078692.591362625</v>
      </c>
      <c r="H29" s="14" t="s">
        <v>3</v>
      </c>
      <c r="I29" s="1"/>
    </row>
    <row r="30" spans="1:9" x14ac:dyDescent="0.25">
      <c r="A30" s="1"/>
      <c r="B30" s="121" t="s">
        <v>250</v>
      </c>
      <c r="C30" s="122"/>
      <c r="D30" s="122"/>
      <c r="E30" s="122"/>
      <c r="F30" s="123"/>
      <c r="G30" s="23">
        <v>3651598.6188393598</v>
      </c>
      <c r="H30" s="14" t="s">
        <v>3</v>
      </c>
      <c r="I30" s="1"/>
    </row>
    <row r="31" spans="1:9" x14ac:dyDescent="0.25">
      <c r="A31" s="1"/>
      <c r="B31" s="121" t="s">
        <v>67</v>
      </c>
      <c r="C31" s="122"/>
      <c r="D31" s="122"/>
      <c r="E31" s="122"/>
      <c r="F31" s="123"/>
      <c r="G31" s="23">
        <f>G29*'Fane 15. Nøgletal'!C24+G30*'Fane 15. Nøgletal'!C25</f>
        <v>1806653.8316127812</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8" t="s">
        <v>130</v>
      </c>
      <c r="C34" s="119"/>
      <c r="D34" s="119"/>
      <c r="E34" s="119"/>
      <c r="F34" s="119"/>
      <c r="G34" s="119"/>
      <c r="H34" s="120"/>
      <c r="I34" s="1"/>
    </row>
    <row r="35" spans="1:9" x14ac:dyDescent="0.25">
      <c r="A35" s="1"/>
      <c r="B35" s="121" t="s">
        <v>215</v>
      </c>
      <c r="C35" s="122"/>
      <c r="D35" s="122"/>
      <c r="E35" s="122"/>
      <c r="F35" s="123"/>
      <c r="G35" s="23">
        <f>(G29+G30-G31)*(1+'Fane 15. Nøgletal'!C14)</f>
        <v>62127985.381938554</v>
      </c>
      <c r="H35" s="14" t="s">
        <v>3</v>
      </c>
      <c r="I35" s="1"/>
    </row>
    <row r="36" spans="1:9" x14ac:dyDescent="0.25">
      <c r="A36" s="1"/>
      <c r="B36" s="121" t="s">
        <v>251</v>
      </c>
      <c r="C36" s="122"/>
      <c r="D36" s="122"/>
      <c r="E36" s="122"/>
      <c r="F36" s="123"/>
      <c r="G36" s="23">
        <v>2304827.8953349907</v>
      </c>
      <c r="H36" s="14" t="s">
        <v>3</v>
      </c>
      <c r="I36" s="1"/>
    </row>
    <row r="37" spans="1:9" x14ac:dyDescent="0.25">
      <c r="A37" s="1"/>
      <c r="B37" s="121" t="s">
        <v>131</v>
      </c>
      <c r="C37" s="122"/>
      <c r="D37" s="122"/>
      <c r="E37" s="122"/>
      <c r="F37" s="123"/>
      <c r="G37" s="23">
        <f>(G35+G36)*'Fane 15. Nøgletal'!C26</f>
        <v>953605.63650364848</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8" t="s">
        <v>151</v>
      </c>
      <c r="C40" s="119"/>
      <c r="D40" s="119"/>
      <c r="E40" s="119"/>
      <c r="F40" s="119"/>
      <c r="G40" s="119"/>
      <c r="H40" s="120"/>
      <c r="I40" s="1"/>
    </row>
    <row r="41" spans="1:9" x14ac:dyDescent="0.25">
      <c r="A41" s="1"/>
      <c r="B41" s="121" t="s">
        <v>216</v>
      </c>
      <c r="C41" s="122"/>
      <c r="D41" s="122"/>
      <c r="E41" s="122"/>
      <c r="F41" s="123"/>
      <c r="G41" s="23">
        <f>(G35+G36-G37)*(1+'Fane 15. Nøgletal'!C14)</f>
        <v>63688689.025984436</v>
      </c>
      <c r="H41" s="14" t="s">
        <v>3</v>
      </c>
      <c r="I41" s="1"/>
    </row>
    <row r="42" spans="1:9" x14ac:dyDescent="0.25">
      <c r="A42" s="1"/>
      <c r="B42" s="41" t="s">
        <v>156</v>
      </c>
      <c r="C42" s="80"/>
      <c r="D42" s="80"/>
      <c r="E42" s="80"/>
      <c r="F42" s="81"/>
      <c r="G42" s="46">
        <v>170589.87568368</v>
      </c>
      <c r="H42" s="14" t="s">
        <v>3</v>
      </c>
      <c r="I42" s="1"/>
    </row>
    <row r="43" spans="1:9" x14ac:dyDescent="0.25">
      <c r="A43" s="1"/>
      <c r="B43" s="121" t="s">
        <v>132</v>
      </c>
      <c r="C43" s="122"/>
      <c r="D43" s="122"/>
      <c r="E43" s="122"/>
      <c r="F43" s="123"/>
      <c r="G43" s="23">
        <f>(G41)*'Fane 15. Nøgletal'!C26+G42*'Fane 15. Nøgletal'!C27</f>
        <v>942592.59758456971</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8" t="s">
        <v>259</v>
      </c>
      <c r="C52" s="119"/>
      <c r="D52" s="119"/>
      <c r="E52" s="119"/>
      <c r="F52" s="119"/>
      <c r="G52" s="119"/>
      <c r="H52" s="120"/>
      <c r="I52" s="1"/>
    </row>
    <row r="53" spans="1:9" x14ac:dyDescent="0.25">
      <c r="A53" s="1"/>
      <c r="B53" s="121" t="s">
        <v>217</v>
      </c>
      <c r="C53" s="122"/>
      <c r="D53" s="122"/>
      <c r="E53" s="122"/>
      <c r="F53" s="123"/>
      <c r="G53" s="23">
        <f>(G41+G42-G43)*(1+'Fane 15. Nøgletal'!C16)</f>
        <v>68000354.557453498</v>
      </c>
      <c r="H53" s="14" t="s">
        <v>3</v>
      </c>
      <c r="I53" s="1"/>
    </row>
    <row r="54" spans="1:9" x14ac:dyDescent="0.25">
      <c r="A54" s="1"/>
      <c r="B54" s="79" t="s">
        <v>195</v>
      </c>
      <c r="C54" s="80"/>
      <c r="D54" s="80"/>
      <c r="E54" s="80"/>
      <c r="F54" s="81"/>
      <c r="G54" s="23">
        <f>('Fane 2.1. Økonomisk ramme 2024'!C11+'Fane 2.1. Økonomisk ramme 2024'!C13+'Fane 2.1. Økonomisk ramme 2024'!C15)*(1+'Fane 15. Nøgletal'!C16)</f>
        <v>11184479.87297415</v>
      </c>
      <c r="H54" s="14" t="s">
        <v>3</v>
      </c>
      <c r="I54" s="1"/>
    </row>
    <row r="55" spans="1:9" x14ac:dyDescent="0.25">
      <c r="A55" s="1"/>
      <c r="B55" s="121" t="s">
        <v>218</v>
      </c>
      <c r="C55" s="122"/>
      <c r="D55" s="122"/>
      <c r="E55" s="122"/>
      <c r="F55" s="123"/>
      <c r="G55" s="73">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8" t="s">
        <v>258</v>
      </c>
      <c r="C58" s="119"/>
      <c r="D58" s="119"/>
      <c r="E58" s="119"/>
      <c r="F58" s="119"/>
      <c r="G58" s="119"/>
      <c r="H58" s="120"/>
      <c r="I58" s="1"/>
    </row>
    <row r="59" spans="1:9" x14ac:dyDescent="0.25">
      <c r="A59" s="1"/>
      <c r="B59" s="121" t="s">
        <v>219</v>
      </c>
      <c r="C59" s="122"/>
      <c r="D59" s="122"/>
      <c r="E59" s="122"/>
      <c r="F59" s="123"/>
      <c r="G59" s="23">
        <f>(G53+G54-G55)*(1+'Fane 15. Nøgletal'!C16)</f>
        <v>85582969.052406192</v>
      </c>
      <c r="H59" s="14" t="s">
        <v>3</v>
      </c>
      <c r="I59" s="1"/>
    </row>
    <row r="60" spans="1:9" x14ac:dyDescent="0.25">
      <c r="A60" s="1"/>
      <c r="B60" s="121" t="s">
        <v>220</v>
      </c>
      <c r="C60" s="122"/>
      <c r="D60" s="122"/>
      <c r="E60" s="122"/>
      <c r="F60" s="123"/>
      <c r="G60" s="73">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8" t="s">
        <v>141</v>
      </c>
      <c r="C63" s="119"/>
      <c r="D63" s="119"/>
      <c r="E63" s="119"/>
      <c r="F63" s="119"/>
      <c r="G63" s="119"/>
      <c r="H63" s="120"/>
      <c r="I63" s="1"/>
    </row>
    <row r="64" spans="1:9" x14ac:dyDescent="0.25">
      <c r="A64" s="1"/>
      <c r="B64" s="121" t="s">
        <v>221</v>
      </c>
      <c r="C64" s="122"/>
      <c r="D64" s="122"/>
      <c r="E64" s="122"/>
      <c r="F64" s="123"/>
      <c r="G64" s="23">
        <f>(G59-G60)*(1+'Fane 15. Nøgletal'!C16)</f>
        <v>92498072.951840609</v>
      </c>
      <c r="H64" s="14" t="s">
        <v>3</v>
      </c>
      <c r="I64" s="1"/>
    </row>
    <row r="65" spans="1:9" x14ac:dyDescent="0.25">
      <c r="A65" s="1"/>
      <c r="B65" s="121" t="s">
        <v>222</v>
      </c>
      <c r="C65" s="122"/>
      <c r="D65" s="122"/>
      <c r="E65" s="122"/>
      <c r="F65" s="123"/>
      <c r="G65" s="73">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8" t="s">
        <v>223</v>
      </c>
      <c r="C68" s="119"/>
      <c r="D68" s="119"/>
      <c r="E68" s="119"/>
      <c r="F68" s="119"/>
      <c r="G68" s="119"/>
      <c r="H68" s="120"/>
      <c r="I68" s="1"/>
    </row>
    <row r="69" spans="1:9" x14ac:dyDescent="0.25">
      <c r="A69" s="1"/>
      <c r="B69" s="121" t="s">
        <v>221</v>
      </c>
      <c r="C69" s="122"/>
      <c r="D69" s="122"/>
      <c r="E69" s="122"/>
      <c r="F69" s="123"/>
      <c r="G69" s="23">
        <f>(G64-G65)*(1+'Fane 15. Nøgletal'!C16)</f>
        <v>99971917.246349335</v>
      </c>
      <c r="H69" s="14" t="s">
        <v>3</v>
      </c>
      <c r="I69" s="1"/>
    </row>
    <row r="70" spans="1:9" x14ac:dyDescent="0.25">
      <c r="A70" s="1"/>
      <c r="B70" s="121" t="s">
        <v>222</v>
      </c>
      <c r="C70" s="122"/>
      <c r="D70" s="122"/>
      <c r="E70" s="122"/>
      <c r="F70" s="123"/>
      <c r="G70" s="73">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2"/>
      <c r="B75" s="62"/>
      <c r="C75" s="62"/>
      <c r="D75" s="62"/>
      <c r="E75" s="62"/>
      <c r="F75" s="62"/>
      <c r="G75" s="62"/>
      <c r="H75" s="62"/>
      <c r="I75" s="62"/>
    </row>
    <row r="76" spans="1:9" x14ac:dyDescent="0.25">
      <c r="A76" s="62"/>
      <c r="B76" s="62"/>
      <c r="C76" s="62"/>
      <c r="D76" s="62"/>
      <c r="E76" s="62"/>
      <c r="F76" s="62"/>
      <c r="G76" s="62"/>
      <c r="H76" s="62"/>
      <c r="I76" s="62"/>
    </row>
    <row r="77" spans="1:9" x14ac:dyDescent="0.25">
      <c r="A77" s="62"/>
      <c r="B77" s="62"/>
      <c r="C77" s="62"/>
      <c r="D77" s="62"/>
      <c r="E77" s="62"/>
      <c r="F77" s="62"/>
      <c r="G77" s="62"/>
      <c r="H77" s="62"/>
      <c r="I77" s="62"/>
    </row>
    <row r="78" spans="1:9" x14ac:dyDescent="0.25">
      <c r="A78" s="62"/>
      <c r="B78" s="62"/>
      <c r="C78" s="62"/>
      <c r="D78" s="62"/>
      <c r="E78" s="62"/>
      <c r="F78" s="62"/>
      <c r="G78" s="62"/>
      <c r="H78" s="62"/>
      <c r="I78" s="62"/>
    </row>
    <row r="79" spans="1:9" x14ac:dyDescent="0.25">
      <c r="A79" s="62"/>
      <c r="B79" s="62"/>
      <c r="C79" s="62"/>
      <c r="D79" s="62"/>
      <c r="E79" s="62"/>
      <c r="F79" s="62"/>
      <c r="G79" s="62"/>
      <c r="H79" s="62"/>
      <c r="I79" s="62"/>
    </row>
    <row r="80" spans="1:9" x14ac:dyDescent="0.25">
      <c r="A80" s="62"/>
      <c r="B80" s="62"/>
      <c r="C80" s="62"/>
      <c r="D80" s="62"/>
      <c r="E80" s="62"/>
      <c r="F80" s="62"/>
      <c r="G80" s="62"/>
      <c r="H80" s="62"/>
      <c r="I80" s="62"/>
    </row>
    <row r="81" spans="1:9" x14ac:dyDescent="0.25">
      <c r="A81" s="62"/>
      <c r="B81" s="62"/>
      <c r="C81" s="62"/>
      <c r="D81" s="62"/>
      <c r="E81" s="62"/>
      <c r="F81" s="62"/>
      <c r="G81" s="62"/>
      <c r="H81" s="62"/>
      <c r="I81" s="62"/>
    </row>
    <row r="82" spans="1:9" x14ac:dyDescent="0.25">
      <c r="A82" s="62"/>
      <c r="B82" s="62"/>
      <c r="C82" s="62"/>
      <c r="D82" s="62"/>
      <c r="E82" s="62"/>
      <c r="F82" s="62"/>
      <c r="G82" s="62"/>
      <c r="H82" s="62"/>
      <c r="I82" s="62"/>
    </row>
    <row r="83" spans="1:9" x14ac:dyDescent="0.25">
      <c r="A83" s="62"/>
      <c r="B83" s="62"/>
      <c r="C83" s="62"/>
      <c r="D83" s="62"/>
      <c r="E83" s="62"/>
      <c r="F83" s="62"/>
      <c r="G83" s="62"/>
      <c r="H83" s="62"/>
      <c r="I83" s="62"/>
    </row>
    <row r="84" spans="1:9" x14ac:dyDescent="0.25">
      <c r="A84" s="62"/>
      <c r="B84" s="62"/>
      <c r="C84" s="62"/>
      <c r="D84" s="62"/>
      <c r="E84" s="62"/>
      <c r="F84" s="62"/>
      <c r="G84" s="62"/>
      <c r="H84" s="62"/>
      <c r="I84" s="62"/>
    </row>
    <row r="85" spans="1:9" x14ac:dyDescent="0.25">
      <c r="A85" s="62"/>
      <c r="B85" s="62"/>
      <c r="C85" s="62"/>
      <c r="D85" s="62"/>
      <c r="E85" s="62"/>
      <c r="F85" s="62"/>
      <c r="G85" s="62"/>
      <c r="H85" s="62"/>
      <c r="I85" s="62"/>
    </row>
    <row r="86" spans="1:9" x14ac:dyDescent="0.25">
      <c r="A86" s="62"/>
      <c r="B86" s="62"/>
      <c r="C86" s="62"/>
      <c r="D86" s="62"/>
      <c r="E86" s="62"/>
      <c r="F86" s="62"/>
      <c r="G86" s="62"/>
      <c r="H86" s="62"/>
      <c r="I86" s="62"/>
    </row>
    <row r="87" spans="1:9" x14ac:dyDescent="0.25">
      <c r="A87" s="62"/>
      <c r="B87" s="62"/>
      <c r="C87" s="62"/>
      <c r="D87" s="62"/>
      <c r="E87" s="62"/>
      <c r="F87" s="62"/>
      <c r="G87" s="62"/>
      <c r="H87" s="62"/>
      <c r="I87" s="62"/>
    </row>
    <row r="88" spans="1:9" x14ac:dyDescent="0.25">
      <c r="A88" s="62"/>
      <c r="B88" s="62"/>
      <c r="C88" s="62"/>
      <c r="D88" s="62"/>
      <c r="E88" s="62"/>
      <c r="F88" s="62"/>
      <c r="G88" s="62"/>
      <c r="H88" s="62"/>
      <c r="I88" s="62"/>
    </row>
    <row r="89" spans="1:9" x14ac:dyDescent="0.25">
      <c r="A89" s="62"/>
      <c r="B89" s="62"/>
      <c r="C89" s="62"/>
      <c r="D89" s="62"/>
      <c r="E89" s="62"/>
      <c r="F89" s="62"/>
      <c r="G89" s="62"/>
      <c r="H89" s="62"/>
      <c r="I89" s="62"/>
    </row>
    <row r="90" spans="1:9" x14ac:dyDescent="0.25">
      <c r="A90" s="62"/>
      <c r="B90" s="62"/>
      <c r="C90" s="62"/>
      <c r="D90" s="62"/>
      <c r="E90" s="62"/>
      <c r="F90" s="62"/>
      <c r="G90" s="62"/>
      <c r="H90" s="62"/>
      <c r="I90" s="62"/>
    </row>
    <row r="91" spans="1:9" x14ac:dyDescent="0.25">
      <c r="A91" s="62"/>
      <c r="B91" s="62"/>
      <c r="C91" s="62"/>
      <c r="D91" s="62"/>
      <c r="E91" s="62"/>
      <c r="F91" s="62"/>
      <c r="G91" s="62"/>
      <c r="H91" s="62"/>
      <c r="I91" s="62"/>
    </row>
    <row r="92" spans="1:9" x14ac:dyDescent="0.25">
      <c r="A92" s="62"/>
      <c r="B92" s="62"/>
      <c r="C92" s="62"/>
      <c r="D92" s="62"/>
      <c r="E92" s="62"/>
      <c r="F92" s="62"/>
      <c r="G92" s="62"/>
      <c r="H92" s="62"/>
      <c r="I92" s="62"/>
    </row>
    <row r="93" spans="1:9" x14ac:dyDescent="0.25">
      <c r="A93" s="62"/>
      <c r="B93" s="62"/>
      <c r="C93" s="62"/>
      <c r="D93" s="62"/>
      <c r="E93" s="62"/>
      <c r="F93" s="62"/>
      <c r="G93" s="62"/>
      <c r="H93" s="62"/>
      <c r="I93" s="62"/>
    </row>
    <row r="94" spans="1:9" x14ac:dyDescent="0.25">
      <c r="A94" s="62"/>
      <c r="B94" s="62"/>
      <c r="C94" s="62"/>
      <c r="D94" s="62"/>
      <c r="E94" s="62"/>
      <c r="F94" s="62"/>
      <c r="G94" s="62"/>
      <c r="H94" s="62"/>
      <c r="I94" s="62"/>
    </row>
    <row r="95" spans="1:9" x14ac:dyDescent="0.25">
      <c r="A95" s="62"/>
      <c r="B95" s="62"/>
      <c r="C95" s="62"/>
      <c r="D95" s="62"/>
      <c r="E95" s="62"/>
      <c r="F95" s="62"/>
      <c r="G95" s="62"/>
      <c r="H95" s="62"/>
      <c r="I95" s="62"/>
    </row>
    <row r="96" spans="1:9" x14ac:dyDescent="0.25">
      <c r="A96" s="62"/>
      <c r="B96" s="62"/>
      <c r="C96" s="62"/>
      <c r="D96" s="62"/>
      <c r="E96" s="62"/>
      <c r="F96" s="62"/>
      <c r="G96" s="62"/>
      <c r="H96" s="62"/>
      <c r="I96" s="62"/>
    </row>
    <row r="97" spans="1:9" x14ac:dyDescent="0.25">
      <c r="A97" s="62"/>
      <c r="B97" s="62"/>
      <c r="C97" s="62"/>
      <c r="D97" s="62"/>
      <c r="E97" s="62"/>
      <c r="F97" s="62"/>
      <c r="G97" s="62"/>
      <c r="H97" s="62"/>
      <c r="I97" s="62"/>
    </row>
    <row r="98" spans="1:9" x14ac:dyDescent="0.25">
      <c r="A98" s="62"/>
      <c r="B98" s="62"/>
      <c r="C98" s="62"/>
      <c r="D98" s="62"/>
      <c r="E98" s="62"/>
      <c r="F98" s="62"/>
      <c r="G98" s="62"/>
      <c r="H98" s="62"/>
      <c r="I98" s="62"/>
    </row>
    <row r="99" spans="1:9" x14ac:dyDescent="0.25">
      <c r="A99" s="62"/>
      <c r="B99" s="62"/>
      <c r="C99" s="62"/>
      <c r="D99" s="62"/>
      <c r="E99" s="62"/>
      <c r="F99" s="62"/>
      <c r="G99" s="62"/>
      <c r="H99" s="62"/>
      <c r="I99" s="62"/>
    </row>
    <row r="100" spans="1:9" x14ac:dyDescent="0.25">
      <c r="A100" s="62"/>
      <c r="B100" s="62"/>
      <c r="C100" s="62"/>
      <c r="D100" s="62"/>
      <c r="E100" s="62"/>
      <c r="F100" s="62"/>
      <c r="G100" s="62"/>
      <c r="H100" s="62"/>
      <c r="I100" s="62"/>
    </row>
  </sheetData>
  <sheetProtection algorithmName="SHA-512" hashValue="fjU7iHvVUaXqJ1w5/OzqCmpoaZad/flz/qBz+gyGnAiCntHTsud6AlJX2AbhMN3KdJFdyLNAhNvyKV6J6eNpIg==" saltValue="4R990B253NxoY3cJqn8TUw=="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8" t="s">
        <v>10</v>
      </c>
      <c r="C8" s="119"/>
      <c r="D8" s="119"/>
      <c r="E8" s="119"/>
      <c r="F8" s="119"/>
      <c r="G8" s="120"/>
      <c r="H8" s="1"/>
    </row>
    <row r="9" spans="1:8" x14ac:dyDescent="0.25">
      <c r="A9" s="1"/>
      <c r="B9" s="121" t="s">
        <v>281</v>
      </c>
      <c r="C9" s="122"/>
      <c r="D9" s="122"/>
      <c r="E9" s="122"/>
      <c r="F9" s="123"/>
      <c r="G9" s="22">
        <v>1.4536312682119207E-2</v>
      </c>
      <c r="H9" s="1"/>
    </row>
    <row r="10" spans="1:8" x14ac:dyDescent="0.25">
      <c r="A10" s="1"/>
      <c r="B10" s="33"/>
      <c r="C10" s="28"/>
      <c r="D10" s="28"/>
      <c r="E10" s="28"/>
      <c r="F10" s="28"/>
      <c r="G10" s="19"/>
      <c r="H10" s="1"/>
    </row>
    <row r="11" spans="1:8" ht="33" customHeight="1" x14ac:dyDescent="0.25">
      <c r="A11" s="1"/>
      <c r="B11" s="132" t="s">
        <v>264</v>
      </c>
      <c r="C11" s="132"/>
      <c r="D11" s="132"/>
      <c r="E11" s="132"/>
      <c r="F11" s="132"/>
      <c r="G11" s="13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ZbICKUvWnU04a5o/Mko5apfsYrI2yAhyocUDEyZFuWmXkWo1SRFsarZiFrumcn79FCzCjJmfpvfih8TQQNU0vg==" saltValue="nS5uJEWGlTvHAp/WCXUQE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2024-02-12T11:53:37Z</dcterms:modified>
</cp:coreProperties>
</file>