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Ishøj Spildevand AS (S053)\ØR2022\"/>
    </mc:Choice>
  </mc:AlternateContent>
  <bookViews>
    <workbookView xWindow="3105" yWindow="998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2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2" i="37" s="1"/>
  <c r="C13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3" i="19"/>
  <c r="C18" i="23" l="1"/>
  <c r="C18" i="22"/>
  <c r="C18" i="15"/>
  <c r="C15" i="2"/>
  <c r="C14" i="2"/>
  <c r="C22" i="2"/>
  <c r="C12" i="2"/>
  <c r="C13" i="2"/>
  <c r="G28" i="30" l="1"/>
  <c r="G32" i="30" l="1"/>
  <c r="E11" i="11"/>
  <c r="E10" i="37" s="1"/>
  <c r="E12" i="37" s="1"/>
  <c r="E13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<sst xmlns="http://schemas.openxmlformats.org/spreadsheetml/2006/main" count="703" uniqueCount="284">
  <si>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</si>
  <si>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</si>
  <si>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</si>
  <si>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</si>
  <si>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</si>
  <si>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</si>
  <si>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</si>
  <si>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</si>
  <si>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</si>
  <si>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</si>
  <si>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</si>
  <si>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</si>
  <si>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</si>
  <si>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</si>
  <si>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</si>
  <si>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</si>
  <si>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</si>
  <si>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</si>
  <si>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</si>
  <si>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</si>
  <si>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</si>
  <si>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</si>
  <si>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</si>
  <si>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</si>
  <si>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</si>
  <si>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</si>
  <si>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</si>
  <si>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</si>
  <si>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</si>
  <si>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</si>
  <si>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</si>
  <si>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</si>
  <si>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</si>
  <si>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</si>
  <si>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</si>
  <si>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</si>
  <si>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</si>
  <si>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</si>
  <si>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</si>
  <si>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</si>
  <si>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</si>
  <si>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</si>
  <si>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</si>
  <si>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</si>
  <si>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</si>
  <si>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</si>
  <si>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</si>
  <si>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</si>
  <si>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</si>
  <si>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</si>
  <si>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</si>
  <si>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</si>
  <si>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</si>
  <si>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</si>
  <si>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</si>
  <si>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</si>
  <si>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</si>
  <si>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</si>
  <si>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</si>
  <si>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</si>
  <si>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</si>
  <si>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</si>
  <si>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</si>
  <si>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</si>
  <si>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</si>
  <si>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</si>
  <si>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</si>
  <si>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</si>
  <si>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</si>
  <si>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</si>
  <si>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</si>
  <si>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</si>
  <si>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</si>
  <si>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</si>
  <si>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</si>
  <si>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</si>
  <si>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</si>
  <si>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</si>
  <si>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</si>
  <si>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</si>
  <si>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</si>
  <si>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</si>
  <si>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</si>
  <si>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</si>
  <si>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</si>
  <si>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</si>
  <si>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</si>
  <si>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</si>
  <si>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</si>
  <si>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</si>
  <si>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</si>
  <si>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</si>
  <si>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</si>
  <si>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</si>
  <si>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</si>
  <si>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</si>
  <si>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</si>
  <si>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</si>
  <si>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</si>
  <si>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</si>
  <si>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</si>
  <si>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</si>
  <si>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</si>
  <si>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</si>
  <si>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</si>
  <si>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</si>
  <si>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</si>
  <si>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</si>
  <si>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</si>
  <si>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</si>
  <si>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</si>
  <si>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</si>
  <si>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</si>
  <si>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</si>
  <si>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</si>
  <si>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</si>
  <si>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</si>
  <si>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</si>
  <si>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</si>
  <si>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</si>
  <si>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</si>
  <si>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</si>
  <si>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</si>
  <si>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</si>
  <si>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</si>
  <si>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</si>
  <si>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</si>
  <si>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</si>
  <si>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</si>
  <si>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</si>
  <si>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</si>
  <si>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</si>
  <si>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</si>
  <si>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</si>
  <si>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</si>
  <si>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</si>
  <si>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</si>
  <si>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</si>
  <si>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</si>
  <si>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</si>
  <si>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</si>
  <si>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</si>
  <si>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</si>
  <si>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</si>
  <si>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</si>
  <si>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</si>
  <si>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</si>
  <si>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</si>
  <si>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</si>
  <si>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</si>
  <si>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</si>
  <si>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</si>
  <si>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</si>
  <si>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</si>
  <si>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</si>
  <si>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</si>
  <si>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</si>
  <si>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</si>
  <si>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</si>
  <si>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</si>
  <si>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</si>
  <si>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</si>
  <si>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</si>
  <si>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</si>
  <si>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</si>
  <si>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</si>
  <si>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</si>
  <si>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</si>
  <si>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</si>
  <si>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</si>
  <si>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</si>
  <si>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</si>
  <si>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</si>
  <si>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</si>
  <si>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</si>
  <si>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</si>
  <si>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</si>
  <si>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</si>
  <si>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</si>
  <si>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</si>
  <si>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</si>
  <si>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</si>
  <si>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</si>
  <si>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</si>
  <si>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</si>
  <si>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</si>
  <si>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</si>
  <si>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</si>
  <si>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</si>
  <si>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</si>
  <si>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</si>
  <si>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</si>
  <si>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</si>
  <si>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</si>
  <si>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</si>
  <si>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</si>
  <si>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</si>
  <si>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</si>
  <si>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</si>
  <si>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</si>
  <si>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</si>
  <si>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</si>
  <si>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</si>
  <si>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</si>
  <si>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</si>
  <si>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</si>
  <si>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</si>
  <si>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</si>
  <si>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</si>
  <si>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</si>
  <si>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</si>
  <si>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</si>
  <si>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</si>
  <si>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</si>
  <si>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</si>
  <si>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</si>
  <si>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</si>
  <si>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</si>
  <si>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</si>
  <si>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</si>
  <si>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</si>
  <si>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</si>
  <si>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</si>
  <si>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</si>
  <si>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</si>
  <si>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</si>
  <si>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</si>
  <si>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</si>
  <si>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</si>
  <si>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</si>
  <si>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</si>
  <si>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</si>
  <si>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</si>
  <si>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</si>
  <si>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</si>
  <si>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</si>
  <si>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</si>
  <si>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</si>
  <si>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</si>
  <si>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</si>
  <si>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</si>
  <si>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</si>
  <si>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</si>
  <si>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</si>
  <si>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</si>
  <si>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</si>
  <si>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</si>
  <si>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</si>
  <si>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</si>
  <si>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</si>
  <si>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</si>
  <si>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</si>
  <si>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</si>
  <si>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</si>
  <si>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</si>
  <si>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</si>
  <si>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</si>
  <si>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</si>
  <si>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</si>
  <si>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</si>
  <si>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</si>
  <si>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</si>
  <si>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Afgift til Forsyningssekretariatet</t>
  </si>
  <si>
    <t>Køb af produkter og ydelser fra andre vandselskaber reguleret af vandsektorloven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</si>
  <si>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</si>
  <si>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</si>
  <si>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</si>
  <si>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</si>
  <si>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</si>
  <si>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</si>
  <si>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</si>
  <si>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</si>
  <si>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</si>
  <si>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</si>
  <si>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</si>
  <si>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</si>
  <si>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</si>
  <si>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Udvidelse af forsyningsområde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</si>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</sst>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2" fontId="0" fillId="2" borderId="0" xfId="0" applyNumberFormat="1" applyFill="1" applyProtection="1"/>
    <xf numFmtId="1" fontId="8" fillId="8" borderId="1" xfId="1" applyNumberFormat="1" applyFont="1" applyFill="1" applyBorder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6640625" style="2" customWidth="1"/>
    <col min="6" max="6" width="11.531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82" t="s">
        <v>4</v>
      </c>
      <c r="E6" s="82"/>
      <c r="F6" s="82"/>
      <c r="G6" s="82"/>
      <c r="H6" s="3"/>
      <c r="I6" s="1"/>
    </row>
    <row r="7" spans="1:9" ht="15" customHeight="1" x14ac:dyDescent="0.45">
      <c r="A7" s="1"/>
      <c r="B7" s="1"/>
      <c r="C7" s="3"/>
      <c r="D7" s="82"/>
      <c r="E7" s="82"/>
      <c r="F7" s="82"/>
      <c r="G7" s="82"/>
      <c r="H7" s="3"/>
      <c r="I7" s="1"/>
    </row>
    <row r="8" spans="1:9" ht="15.75" x14ac:dyDescent="0.5">
      <c r="A8" s="1"/>
      <c r="B8" s="1"/>
      <c r="C8" s="4"/>
      <c r="D8" s="87" t="s">
        <v>282</v>
      </c>
      <c r="E8" s="87"/>
      <c r="F8" s="87"/>
      <c r="G8" s="87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86" t="s">
        <v>5</v>
      </c>
      <c r="E11" s="86"/>
      <c r="F11" s="86"/>
      <c r="G11" s="86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79" t="s">
        <v>245</v>
      </c>
      <c r="E13" s="80"/>
      <c r="F13" s="80"/>
      <c r="G13" s="81"/>
      <c r="H13" s="1"/>
      <c r="I13" s="1"/>
    </row>
    <row r="14" spans="1:9" x14ac:dyDescent="0.45">
      <c r="A14" s="1"/>
      <c r="B14" s="1"/>
      <c r="C14" s="6" t="s">
        <v>17</v>
      </c>
      <c r="D14" s="79" t="s">
        <v>246</v>
      </c>
      <c r="E14" s="80"/>
      <c r="F14" s="80"/>
      <c r="G14" s="81"/>
      <c r="H14" s="1"/>
      <c r="I14" s="1"/>
    </row>
    <row r="15" spans="1:9" x14ac:dyDescent="0.45">
      <c r="A15" s="1"/>
      <c r="B15" s="1"/>
      <c r="C15" s="6" t="s">
        <v>37</v>
      </c>
      <c r="D15" s="79" t="s">
        <v>160</v>
      </c>
      <c r="E15" s="80"/>
      <c r="F15" s="80"/>
      <c r="G15" s="81"/>
      <c r="H15" s="1"/>
      <c r="I15" s="1"/>
    </row>
    <row r="16" spans="1:9" x14ac:dyDescent="0.45">
      <c r="A16" s="1"/>
      <c r="B16" s="1"/>
      <c r="C16" s="6" t="s">
        <v>38</v>
      </c>
      <c r="D16" s="79" t="s">
        <v>247</v>
      </c>
      <c r="E16" s="80"/>
      <c r="F16" s="80"/>
      <c r="G16" s="81"/>
      <c r="H16" s="1"/>
      <c r="I16" s="1"/>
    </row>
    <row r="17" spans="1:9" x14ac:dyDescent="0.45">
      <c r="A17" s="1"/>
      <c r="B17" s="1"/>
      <c r="C17" s="6" t="s">
        <v>144</v>
      </c>
      <c r="D17" s="79" t="s">
        <v>248</v>
      </c>
      <c r="E17" s="80"/>
      <c r="F17" s="80"/>
      <c r="G17" s="81"/>
      <c r="H17" s="1"/>
      <c r="I17" s="1"/>
    </row>
    <row r="18" spans="1:9" x14ac:dyDescent="0.45">
      <c r="A18" s="1"/>
      <c r="B18" s="1"/>
      <c r="C18" s="6" t="s">
        <v>124</v>
      </c>
      <c r="D18" s="76" t="s">
        <v>110</v>
      </c>
      <c r="E18" s="77"/>
      <c r="F18" s="77"/>
      <c r="G18" s="78"/>
      <c r="H18" s="1"/>
      <c r="I18" s="1"/>
    </row>
    <row r="19" spans="1:9" x14ac:dyDescent="0.45">
      <c r="A19" s="1"/>
      <c r="B19" s="1"/>
      <c r="C19" s="6" t="s">
        <v>125</v>
      </c>
      <c r="D19" s="76" t="s">
        <v>111</v>
      </c>
      <c r="E19" s="77"/>
      <c r="F19" s="77"/>
      <c r="G19" s="78"/>
      <c r="H19" s="1"/>
      <c r="I19" s="1"/>
    </row>
    <row r="20" spans="1:9" x14ac:dyDescent="0.45">
      <c r="A20" s="1"/>
      <c r="B20" s="1"/>
      <c r="C20" s="6" t="s">
        <v>7</v>
      </c>
      <c r="D20" s="76" t="s">
        <v>10</v>
      </c>
      <c r="E20" s="77"/>
      <c r="F20" s="77"/>
      <c r="G20" s="78"/>
      <c r="H20" s="1"/>
      <c r="I20" s="1"/>
    </row>
    <row r="21" spans="1:9" x14ac:dyDescent="0.45">
      <c r="A21" s="1"/>
      <c r="B21" s="1"/>
      <c r="C21" s="6" t="s">
        <v>126</v>
      </c>
      <c r="D21" s="83" t="s">
        <v>13</v>
      </c>
      <c r="E21" s="84"/>
      <c r="F21" s="84"/>
      <c r="G21" s="85"/>
      <c r="H21" s="1"/>
      <c r="I21" s="1"/>
    </row>
    <row r="22" spans="1:9" x14ac:dyDescent="0.45">
      <c r="A22" s="1"/>
      <c r="B22" s="1"/>
      <c r="C22" s="6" t="s">
        <v>91</v>
      </c>
      <c r="D22" s="70" t="s">
        <v>249</v>
      </c>
      <c r="E22" s="71"/>
      <c r="F22" s="71"/>
      <c r="G22" s="72"/>
      <c r="H22" s="1"/>
      <c r="I22" s="1"/>
    </row>
    <row r="23" spans="1:9" x14ac:dyDescent="0.45">
      <c r="A23" s="1"/>
      <c r="B23" s="1"/>
      <c r="C23" s="6" t="s">
        <v>8</v>
      </c>
      <c r="D23" s="70" t="s">
        <v>195</v>
      </c>
      <c r="E23" s="71"/>
      <c r="F23" s="71"/>
      <c r="G23" s="72"/>
      <c r="H23" s="1"/>
      <c r="I23" s="1"/>
    </row>
    <row r="24" spans="1:9" x14ac:dyDescent="0.45">
      <c r="A24" s="1"/>
      <c r="B24" s="1"/>
      <c r="C24" s="6" t="s">
        <v>9</v>
      </c>
      <c r="D24" s="70" t="s">
        <v>39</v>
      </c>
      <c r="E24" s="71"/>
      <c r="F24" s="71"/>
      <c r="G24" s="72"/>
      <c r="H24" s="1"/>
      <c r="I24" s="1"/>
    </row>
    <row r="25" spans="1:9" x14ac:dyDescent="0.45">
      <c r="A25" s="1"/>
      <c r="B25" s="1"/>
      <c r="C25" s="6" t="s">
        <v>127</v>
      </c>
      <c r="D25" s="70" t="s">
        <v>92</v>
      </c>
      <c r="E25" s="71"/>
      <c r="F25" s="71"/>
      <c r="G25" s="72"/>
      <c r="H25" s="1"/>
      <c r="I25" s="1"/>
    </row>
    <row r="26" spans="1:9" x14ac:dyDescent="0.45">
      <c r="A26" s="1"/>
      <c r="B26" s="1"/>
      <c r="C26" s="6" t="s">
        <v>128</v>
      </c>
      <c r="D26" s="70" t="s">
        <v>93</v>
      </c>
      <c r="E26" s="71"/>
      <c r="F26" s="71"/>
      <c r="G26" s="72"/>
      <c r="H26" s="1"/>
      <c r="I26" s="1"/>
    </row>
    <row r="27" spans="1:9" x14ac:dyDescent="0.45">
      <c r="A27" s="1"/>
      <c r="B27" s="1"/>
      <c r="C27" s="6" t="s">
        <v>129</v>
      </c>
      <c r="D27" s="70" t="s">
        <v>94</v>
      </c>
      <c r="E27" s="71"/>
      <c r="F27" s="71"/>
      <c r="G27" s="72"/>
      <c r="H27" s="1"/>
      <c r="I27" s="1"/>
    </row>
    <row r="28" spans="1:9" x14ac:dyDescent="0.45">
      <c r="A28" s="1"/>
      <c r="B28" s="1"/>
      <c r="C28" s="6" t="s">
        <v>16</v>
      </c>
      <c r="D28" s="70" t="s">
        <v>161</v>
      </c>
      <c r="E28" s="71"/>
      <c r="F28" s="71"/>
      <c r="G28" s="72"/>
      <c r="H28" s="1"/>
      <c r="I28" s="1"/>
    </row>
    <row r="29" spans="1:9" x14ac:dyDescent="0.45">
      <c r="A29" s="1"/>
      <c r="B29" s="1"/>
      <c r="C29" s="6" t="s">
        <v>41</v>
      </c>
      <c r="D29" s="70" t="s">
        <v>40</v>
      </c>
      <c r="E29" s="71"/>
      <c r="F29" s="71"/>
      <c r="G29" s="72"/>
      <c r="H29" s="1"/>
      <c r="I29" s="1"/>
    </row>
    <row r="30" spans="1:9" x14ac:dyDescent="0.45">
      <c r="A30" s="1"/>
      <c r="B30" s="1"/>
      <c r="C30" s="6" t="s">
        <v>42</v>
      </c>
      <c r="D30" s="73" t="s">
        <v>123</v>
      </c>
      <c r="E30" s="74"/>
      <c r="F30" s="74"/>
      <c r="G30" s="75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5IBYvJODO/wvb3rJPvyopn+no996CIURmx9plaoUTEDnc1yOZ9m0orXsDTZBMzGyRcXtIF2aV0f3B1eJMSSxyg==" saltValue="dTmHLURJKOeHhXP8K64hAA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332031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8" t="s">
        <v>132</v>
      </c>
      <c r="C3" s="88"/>
      <c r="D3" s="88"/>
      <c r="E3" s="1"/>
      <c r="F3" s="1"/>
    </row>
    <row r="4" spans="1:6" ht="15" customHeight="1" x14ac:dyDescent="0.45">
      <c r="A4" s="1"/>
      <c r="B4" s="88"/>
      <c r="C4" s="88"/>
      <c r="D4" s="88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00" t="s">
        <v>208</v>
      </c>
      <c r="C8" s="101"/>
      <c r="D8" s="102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x14ac:dyDescent="0.45">
      <c r="A10" s="1"/>
      <c r="B10" s="62" t="s">
        <v>262</v>
      </c>
      <c r="C10" s="9">
        <v>58408</v>
      </c>
      <c r="D10" s="14" t="s">
        <v>3</v>
      </c>
      <c r="E10" s="1"/>
      <c r="F10" s="1"/>
    </row>
    <row r="11" spans="1:6" x14ac:dyDescent="0.45">
      <c r="A11" s="1"/>
      <c r="B11" s="62" t="s">
        <v>263</v>
      </c>
      <c r="C11" s="9">
        <v>8265076</v>
      </c>
      <c r="D11" s="14" t="s">
        <v>3</v>
      </c>
      <c r="E11" s="1"/>
      <c r="F11" s="1"/>
    </row>
    <row r="12" spans="1:6" x14ac:dyDescent="0.45">
      <c r="A12" s="1"/>
      <c r="B12" s="38" t="s">
        <v>209</v>
      </c>
      <c r="C12" s="12">
        <f>SUM(C10:C11)</f>
        <v>8323484</v>
      </c>
      <c r="D12" s="13" t="s">
        <v>3</v>
      </c>
      <c r="E12" s="1"/>
      <c r="F12" s="1"/>
    </row>
    <row r="13" spans="1:6" x14ac:dyDescent="0.45">
      <c r="A13" s="1"/>
      <c r="B13" s="38" t="s">
        <v>210</v>
      </c>
      <c r="C13" s="12">
        <f>C12*(1+'Fane 14. Nøgletal'!C14)^2</f>
        <v>8378509.6371407611</v>
      </c>
      <c r="D13" s="13" t="s">
        <v>3</v>
      </c>
      <c r="E13" s="1"/>
      <c r="F13" s="1"/>
    </row>
    <row r="14" spans="1:6" x14ac:dyDescent="0.45">
      <c r="A14" s="1"/>
      <c r="B14" s="16"/>
      <c r="C14" s="15"/>
      <c r="D14" s="15"/>
      <c r="E14" s="1"/>
      <c r="F14" s="1"/>
    </row>
    <row r="15" spans="1:6" x14ac:dyDescent="0.45">
      <c r="A15" s="1"/>
      <c r="B15" s="16"/>
      <c r="C15" s="15"/>
      <c r="D15" s="15"/>
      <c r="E15" s="1"/>
      <c r="F15" s="1"/>
    </row>
    <row r="16" spans="1:6" x14ac:dyDescent="0.45">
      <c r="A16" s="1"/>
      <c r="B16" s="100" t="s">
        <v>142</v>
      </c>
      <c r="C16" s="101"/>
      <c r="D16" s="102"/>
      <c r="E16" s="1"/>
      <c r="F16" s="1"/>
    </row>
    <row r="17" spans="1:6" x14ac:dyDescent="0.45">
      <c r="A17" s="1"/>
      <c r="B17" s="62" t="s">
        <v>116</v>
      </c>
      <c r="C17" s="9">
        <v>56416.525524329656</v>
      </c>
      <c r="D17" s="14" t="s">
        <v>3</v>
      </c>
      <c r="E17" s="1"/>
      <c r="F17" s="1"/>
    </row>
    <row r="18" spans="1:6" x14ac:dyDescent="0.45">
      <c r="A18" s="1"/>
      <c r="B18" s="62" t="s">
        <v>117</v>
      </c>
      <c r="C18" s="9">
        <v>56447.278616128046</v>
      </c>
      <c r="D18" s="14" t="s">
        <v>3</v>
      </c>
      <c r="E18" s="1"/>
      <c r="F18" s="1"/>
    </row>
    <row r="19" spans="1:6" x14ac:dyDescent="0.45">
      <c r="A19" s="1"/>
      <c r="B19" s="62" t="s">
        <v>154</v>
      </c>
      <c r="C19" s="9">
        <v>56478.493004303404</v>
      </c>
      <c r="D19" s="14" t="s">
        <v>3</v>
      </c>
      <c r="E19" s="1"/>
      <c r="F19" s="1"/>
    </row>
    <row r="20" spans="1:6" x14ac:dyDescent="0.45">
      <c r="A20" s="1"/>
      <c r="B20" s="62" t="s">
        <v>211</v>
      </c>
      <c r="C20" s="9">
        <v>56510.175608301397</v>
      </c>
      <c r="D20" s="14" t="s">
        <v>3</v>
      </c>
      <c r="E20" s="1"/>
      <c r="F20" s="1"/>
    </row>
    <row r="21" spans="1:6" x14ac:dyDescent="0.45">
      <c r="A21" s="1"/>
      <c r="B21" s="100"/>
      <c r="C21" s="101"/>
      <c r="D21" s="102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00" t="s">
        <v>115</v>
      </c>
      <c r="C24" s="101"/>
      <c r="D24" s="102"/>
      <c r="E24" s="1"/>
      <c r="F24" s="1"/>
    </row>
    <row r="25" spans="1:6" x14ac:dyDescent="0.45">
      <c r="A25" s="1"/>
      <c r="B25" s="62" t="s">
        <v>116</v>
      </c>
      <c r="C25" s="9">
        <v>205800</v>
      </c>
      <c r="D25" s="14" t="s">
        <v>3</v>
      </c>
      <c r="E25" s="1"/>
      <c r="F25" s="1"/>
    </row>
    <row r="26" spans="1:6" x14ac:dyDescent="0.45">
      <c r="A26" s="1"/>
      <c r="B26" s="62" t="s">
        <v>117</v>
      </c>
      <c r="C26" s="9">
        <v>205800</v>
      </c>
      <c r="D26" s="14" t="s">
        <v>3</v>
      </c>
      <c r="E26" s="1"/>
      <c r="F26" s="1"/>
    </row>
    <row r="27" spans="1:6" x14ac:dyDescent="0.45">
      <c r="A27" s="1"/>
      <c r="B27" s="62" t="s">
        <v>154</v>
      </c>
      <c r="C27" s="9">
        <v>205800</v>
      </c>
      <c r="D27" s="14" t="s">
        <v>3</v>
      </c>
      <c r="E27" s="1"/>
      <c r="F27" s="1"/>
    </row>
    <row r="28" spans="1:6" x14ac:dyDescent="0.45">
      <c r="A28" s="1"/>
      <c r="B28" s="62" t="s">
        <v>211</v>
      </c>
      <c r="C28" s="9">
        <v>205799</v>
      </c>
      <c r="D28" s="14" t="s">
        <v>3</v>
      </c>
      <c r="E28" s="1"/>
      <c r="F28" s="1"/>
    </row>
    <row r="29" spans="1:6" x14ac:dyDescent="0.45">
      <c r="A29" s="1"/>
      <c r="B29" s="100"/>
      <c r="C29" s="101"/>
      <c r="D29" s="102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3Q50exBfgeFCthAH+5srLQqOCj0w/NIkCKjFiRjAccoShgxlhuA77rhnA2ZZU5DvCny7+s8onytQCQb2hdZ3eA==" saltValue="/YLIPgrUASt7n5SLpbHm+A==" spinCount="100000" sheet="1" objects="1" scenarios="1"/>
  <mergeCells count="6">
    <mergeCell ref="B29:D29"/>
    <mergeCell ref="B3:D4"/>
    <mergeCell ref="B8:D8"/>
    <mergeCell ref="B16:D16"/>
    <mergeCell ref="B24:D24"/>
    <mergeCell ref="B21:D21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86328125" style="2" customWidth="1"/>
    <col min="5" max="5" width="12.332031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3" t="s">
        <v>212</v>
      </c>
      <c r="C3" s="93"/>
      <c r="D3" s="93"/>
      <c r="E3" s="93"/>
      <c r="F3" s="93"/>
      <c r="G3" s="1"/>
    </row>
    <row r="4" spans="1:7" ht="15" customHeight="1" x14ac:dyDescent="0.45">
      <c r="A4" s="1"/>
      <c r="B4" s="93"/>
      <c r="C4" s="93"/>
      <c r="D4" s="93"/>
      <c r="E4" s="93"/>
      <c r="F4" s="93"/>
      <c r="G4" s="1"/>
    </row>
    <row r="5" spans="1:7" ht="15" customHeight="1" x14ac:dyDescent="0.45">
      <c r="A5" s="1"/>
      <c r="B5" s="58"/>
      <c r="C5" s="58"/>
      <c r="D5" s="58"/>
      <c r="E5" s="58"/>
      <c r="F5" s="58"/>
      <c r="G5" s="1"/>
    </row>
    <row r="6" spans="1:7" ht="15" customHeight="1" x14ac:dyDescent="0.45">
      <c r="A6" s="1"/>
      <c r="B6" s="58"/>
      <c r="C6" s="58"/>
      <c r="D6" s="58"/>
      <c r="E6" s="58"/>
      <c r="F6" s="58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0" t="s">
        <v>265</v>
      </c>
      <c r="C8" s="101"/>
      <c r="D8" s="101"/>
      <c r="E8" s="101"/>
      <c r="F8" s="102"/>
      <c r="G8" s="1"/>
    </row>
    <row r="9" spans="1:7" x14ac:dyDescent="0.45">
      <c r="A9" s="1"/>
      <c r="B9" s="105" t="s">
        <v>266</v>
      </c>
      <c r="C9" s="106"/>
      <c r="D9" s="107"/>
      <c r="E9" s="9">
        <v>594648.35720416158</v>
      </c>
      <c r="F9" s="14" t="s">
        <v>3</v>
      </c>
      <c r="G9" s="1"/>
    </row>
    <row r="10" spans="1:7" x14ac:dyDescent="0.45">
      <c r="A10" s="1"/>
      <c r="B10" s="105" t="s">
        <v>267</v>
      </c>
      <c r="C10" s="106"/>
      <c r="D10" s="107"/>
      <c r="E10" s="9">
        <v>324485.49883164465</v>
      </c>
      <c r="F10" s="14" t="s">
        <v>3</v>
      </c>
      <c r="G10" s="1"/>
    </row>
    <row r="11" spans="1:7" x14ac:dyDescent="0.45">
      <c r="A11" s="1"/>
      <c r="B11" s="105" t="s">
        <v>268</v>
      </c>
      <c r="C11" s="106"/>
      <c r="D11" s="107"/>
      <c r="E11" s="9">
        <v>324485.49883164465</v>
      </c>
      <c r="F11" s="14" t="s">
        <v>3</v>
      </c>
      <c r="G11" s="1"/>
    </row>
    <row r="12" spans="1:7" x14ac:dyDescent="0.45">
      <c r="A12" s="1"/>
      <c r="B12" s="105" t="s">
        <v>269</v>
      </c>
      <c r="C12" s="106"/>
      <c r="D12" s="107"/>
      <c r="E12" s="9">
        <v>-254992.79431803524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0" t="s">
        <v>270</v>
      </c>
      <c r="C14" s="91"/>
      <c r="D14" s="91"/>
      <c r="E14" s="91"/>
      <c r="F14" s="92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00" t="s">
        <v>271</v>
      </c>
      <c r="C16" s="101"/>
      <c r="D16" s="101"/>
      <c r="E16" s="101"/>
      <c r="F16" s="102"/>
      <c r="G16" s="1"/>
    </row>
    <row r="17" spans="1:7" x14ac:dyDescent="0.45">
      <c r="A17" s="1"/>
      <c r="B17" s="105" t="s">
        <v>272</v>
      </c>
      <c r="C17" s="106"/>
      <c r="D17" s="107"/>
      <c r="E17" s="9">
        <v>0</v>
      </c>
      <c r="F17" s="14" t="s">
        <v>3</v>
      </c>
      <c r="G17" s="1"/>
    </row>
    <row r="18" spans="1:7" x14ac:dyDescent="0.45">
      <c r="A18" s="1"/>
      <c r="B18" s="105" t="s">
        <v>273</v>
      </c>
      <c r="C18" s="106"/>
      <c r="D18" s="107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90" t="s">
        <v>274</v>
      </c>
      <c r="C20" s="91"/>
      <c r="D20" s="91"/>
      <c r="E20" s="91"/>
      <c r="F20" s="92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3" t="s">
        <v>213</v>
      </c>
      <c r="C22" s="54"/>
      <c r="D22" s="54"/>
      <c r="E22" s="54"/>
      <c r="F22" s="55"/>
      <c r="G22" s="1"/>
    </row>
    <row r="23" spans="1:7" x14ac:dyDescent="0.45">
      <c r="A23" s="1"/>
      <c r="B23" s="59" t="s">
        <v>214</v>
      </c>
      <c r="C23" s="60"/>
      <c r="D23" s="61"/>
      <c r="E23" s="9">
        <v>31181045.914231744</v>
      </c>
      <c r="F23" s="14" t="s">
        <v>3</v>
      </c>
      <c r="G23" s="1"/>
    </row>
    <row r="24" spans="1:7" x14ac:dyDescent="0.45">
      <c r="A24" s="1"/>
      <c r="B24" s="59" t="s">
        <v>215</v>
      </c>
      <c r="C24" s="60"/>
      <c r="D24" s="61"/>
      <c r="E24" s="9">
        <v>32468524</v>
      </c>
      <c r="F24" s="14" t="s">
        <v>3</v>
      </c>
      <c r="G24" s="1"/>
    </row>
    <row r="25" spans="1:7" x14ac:dyDescent="0.45">
      <c r="A25" s="1"/>
      <c r="B25" s="59" t="s">
        <v>36</v>
      </c>
      <c r="C25" s="60"/>
      <c r="D25" s="61"/>
      <c r="E25" s="9">
        <v>0</v>
      </c>
      <c r="F25" s="14" t="s">
        <v>3</v>
      </c>
      <c r="G25" s="1"/>
    </row>
    <row r="26" spans="1:7" x14ac:dyDescent="0.45">
      <c r="A26" s="1"/>
      <c r="B26" s="56" t="s">
        <v>275</v>
      </c>
      <c r="C26" s="57"/>
      <c r="D26" s="64"/>
      <c r="E26" s="48">
        <f>E23-(E24-E25)</f>
        <v>-1287478.0857682563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00" t="s">
        <v>186</v>
      </c>
      <c r="C30" s="101"/>
      <c r="D30" s="101"/>
      <c r="E30" s="101"/>
      <c r="F30" s="102"/>
      <c r="G30" s="1"/>
    </row>
    <row r="31" spans="1:7" x14ac:dyDescent="0.45">
      <c r="A31" s="1"/>
      <c r="B31" s="117" t="s">
        <v>280</v>
      </c>
      <c r="C31" s="118"/>
      <c r="D31" s="119"/>
      <c r="E31" s="9">
        <v>3</v>
      </c>
      <c r="F31" s="14"/>
      <c r="G31" s="1"/>
    </row>
    <row r="32" spans="1:7" x14ac:dyDescent="0.45">
      <c r="A32" s="1"/>
      <c r="B32" s="117" t="s">
        <v>187</v>
      </c>
      <c r="C32" s="118"/>
      <c r="D32" s="119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-623337.02405048534</v>
      </c>
      <c r="F32" s="14" t="s">
        <v>3</v>
      </c>
      <c r="G32" s="1"/>
    </row>
    <row r="33" spans="1:7" x14ac:dyDescent="0.45">
      <c r="A33" s="1"/>
      <c r="B33" s="117" t="s">
        <v>120</v>
      </c>
      <c r="C33" s="118"/>
      <c r="D33" s="119"/>
      <c r="E33" s="9">
        <v>2</v>
      </c>
      <c r="F33" s="14" t="s">
        <v>21</v>
      </c>
      <c r="G33" s="1"/>
    </row>
    <row r="34" spans="1:7" x14ac:dyDescent="0.45">
      <c r="A34" s="1"/>
      <c r="B34" s="120" t="s">
        <v>188</v>
      </c>
      <c r="C34" s="120"/>
      <c r="D34" s="120"/>
      <c r="E34" s="10">
        <f>E32/E33</f>
        <v>-311668.51202524267</v>
      </c>
      <c r="F34" s="17" t="s">
        <v>3</v>
      </c>
      <c r="G34" s="1"/>
    </row>
    <row r="35" spans="1:7" x14ac:dyDescent="0.45">
      <c r="A35" s="1"/>
      <c r="B35" s="121"/>
      <c r="C35" s="122"/>
      <c r="D35" s="122"/>
      <c r="E35" s="122"/>
      <c r="F35" s="123"/>
      <c r="G35" s="1"/>
    </row>
    <row r="36" spans="1:7" ht="75" customHeight="1" x14ac:dyDescent="0.45">
      <c r="A36" s="1"/>
      <c r="B36" s="90" t="s">
        <v>279</v>
      </c>
      <c r="C36" s="91"/>
      <c r="D36" s="91"/>
      <c r="E36" s="91"/>
      <c r="F36" s="92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CRvGlEJyrsIM2pOphprcbOdePEd/DlEQg84Q1oY7OrCxrfI5KOtlHkxqNxeHop21xxlyUGfNsLQ5079K072Hag==" saltValue="myKEkvAZVPl4n6HMrSbN7A==" spinCount="100000" sheet="1" objects="1" scenarios="1"/>
  <mergeCells count="18"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2:D32"/>
    <mergeCell ref="B33:D33"/>
    <mergeCell ref="B34:D34"/>
    <mergeCell ref="B35:F35"/>
    <mergeCell ref="B36:F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53125" style="2" customWidth="1"/>
    <col min="5" max="5" width="12.66406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3" t="s">
        <v>216</v>
      </c>
      <c r="C3" s="93"/>
      <c r="D3" s="93"/>
      <c r="E3" s="93"/>
      <c r="F3" s="93"/>
      <c r="G3" s="1"/>
    </row>
    <row r="4" spans="1:7" ht="1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100" t="s">
        <v>217</v>
      </c>
      <c r="C9" s="101"/>
      <c r="D9" s="101"/>
      <c r="E9" s="101"/>
      <c r="F9" s="102"/>
      <c r="G9" s="1"/>
    </row>
    <row r="10" spans="1:7" x14ac:dyDescent="0.45">
      <c r="A10" s="1"/>
      <c r="B10" s="90" t="s">
        <v>118</v>
      </c>
      <c r="C10" s="91"/>
      <c r="D10" s="92"/>
      <c r="E10" s="7">
        <v>0</v>
      </c>
      <c r="F10" s="8" t="s">
        <v>3</v>
      </c>
      <c r="G10" s="1"/>
    </row>
    <row r="11" spans="1:7" x14ac:dyDescent="0.45">
      <c r="A11" s="1"/>
      <c r="B11" s="105" t="s">
        <v>218</v>
      </c>
      <c r="C11" s="106"/>
      <c r="D11" s="107"/>
      <c r="E11" s="7">
        <v>0</v>
      </c>
      <c r="F11" s="8" t="s">
        <v>3</v>
      </c>
      <c r="G11" s="1"/>
    </row>
    <row r="12" spans="1:7" x14ac:dyDescent="0.45">
      <c r="A12" s="1"/>
      <c r="B12" s="103" t="s">
        <v>119</v>
      </c>
      <c r="C12" s="104"/>
      <c r="D12" s="124"/>
      <c r="E12" s="10">
        <f>E11-E10</f>
        <v>0</v>
      </c>
      <c r="F12" s="11" t="s">
        <v>3</v>
      </c>
      <c r="G12" s="1"/>
    </row>
    <row r="13" spans="1:7" x14ac:dyDescent="0.45">
      <c r="A13" s="1"/>
      <c r="B13" s="100" t="s">
        <v>109</v>
      </c>
      <c r="C13" s="101"/>
      <c r="D13" s="101"/>
      <c r="E13" s="101"/>
      <c r="F13" s="102"/>
      <c r="G13" s="1"/>
    </row>
    <row r="14" spans="1:7" x14ac:dyDescent="0.45">
      <c r="A14" s="1"/>
      <c r="B14" s="105" t="s">
        <v>219</v>
      </c>
      <c r="C14" s="106"/>
      <c r="D14" s="107"/>
      <c r="E14" s="9">
        <v>56356.376061859082</v>
      </c>
      <c r="F14" s="8" t="s">
        <v>3</v>
      </c>
      <c r="G14" s="1"/>
    </row>
    <row r="15" spans="1:7" x14ac:dyDescent="0.45">
      <c r="A15" s="1"/>
      <c r="B15" s="90" t="s">
        <v>220</v>
      </c>
      <c r="C15" s="91"/>
      <c r="D15" s="92"/>
      <c r="E15" s="9">
        <v>52636</v>
      </c>
      <c r="F15" s="8" t="s">
        <v>3</v>
      </c>
      <c r="G15" s="1"/>
    </row>
    <row r="16" spans="1:7" x14ac:dyDescent="0.45">
      <c r="A16" s="1"/>
      <c r="B16" s="103" t="s">
        <v>119</v>
      </c>
      <c r="C16" s="104"/>
      <c r="D16" s="124"/>
      <c r="E16" s="10">
        <f>E15-E14</f>
        <v>-3720.3760618590823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-3720.3760618590823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z4xYE0HXoSnjV9TdprYCxC2NHD0bEiDodkYdSZtdBS0Vv4eEsMVfWHShFc+0rRPTj566ZzltMPQp9yakdlgYrA==" saltValue="fR3iYF4bGkS0S8wP17Abe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6640625" style="2" customWidth="1"/>
    <col min="2" max="2" width="22.53125" style="2" customWidth="1"/>
    <col min="3" max="3" width="8.33203125" style="2" customWidth="1"/>
    <col min="4" max="6" width="10.6640625" style="2" customWidth="1"/>
    <col min="7" max="7" width="11.1328125" style="2" customWidth="1"/>
    <col min="8" max="8" width="3.332031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8" t="s">
        <v>177</v>
      </c>
      <c r="C3" s="88"/>
      <c r="D3" s="88"/>
      <c r="E3" s="88"/>
      <c r="F3" s="88"/>
      <c r="G3" s="88"/>
      <c r="H3" s="88"/>
      <c r="I3" s="1"/>
    </row>
    <row r="4" spans="1:9" ht="15" customHeight="1" x14ac:dyDescent="0.4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0" t="s">
        <v>178</v>
      </c>
      <c r="C8" s="101"/>
      <c r="D8" s="101"/>
      <c r="E8" s="101"/>
      <c r="F8" s="101"/>
      <c r="G8" s="101"/>
      <c r="H8" s="102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5" t="s">
        <v>281</v>
      </c>
      <c r="C10" s="66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100" t="s">
        <v>179</v>
      </c>
      <c r="C11" s="101"/>
      <c r="D11" s="102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YhCk/TSwZ/Z0iO9t8xz7nqld3Jis4pyIM3tdX7fitpS+vq4iDavz2LqwCGFc93vET4f2RHMy3E+svzaPzNtD/A==" saltValue="hqihcklkfP/BI3CtOyhcV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8" t="s">
        <v>135</v>
      </c>
      <c r="C3" s="88"/>
      <c r="D3" s="88"/>
      <c r="E3" s="88"/>
      <c r="F3" s="88"/>
      <c r="G3" s="1"/>
    </row>
    <row r="4" spans="1:7" ht="15" customHeight="1" x14ac:dyDescent="0.45">
      <c r="A4" s="1"/>
      <c r="B4" s="88"/>
      <c r="C4" s="88"/>
      <c r="D4" s="88"/>
      <c r="E4" s="88"/>
      <c r="F4" s="8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47" t="s">
        <v>277</v>
      </c>
      <c r="C11" s="22">
        <v>0</v>
      </c>
      <c r="D11" s="14" t="s">
        <v>3</v>
      </c>
      <c r="E11" s="9">
        <v>170310</v>
      </c>
      <c r="F11" s="14" t="s">
        <v>3</v>
      </c>
      <c r="G11" s="1"/>
    </row>
    <row r="12" spans="1:7" x14ac:dyDescent="0.45">
      <c r="A12" s="1"/>
      <c r="B12" s="38" t="s">
        <v>163</v>
      </c>
      <c r="C12" s="12">
        <f>SUM(C10:C11)</f>
        <v>0</v>
      </c>
      <c r="D12" s="13" t="s">
        <v>3</v>
      </c>
      <c r="E12" s="12">
        <f>SUM(E10:E11)</f>
        <v>170310</v>
      </c>
      <c r="F12" s="13" t="s">
        <v>3</v>
      </c>
      <c r="G12" s="1"/>
    </row>
    <row r="13" spans="1:7" x14ac:dyDescent="0.45">
      <c r="A13" s="1"/>
      <c r="B13" s="38" t="s">
        <v>222</v>
      </c>
      <c r="C13" s="12">
        <f>C12*(1+'Fane 14. Nøgletal'!C14)</f>
        <v>0</v>
      </c>
      <c r="D13" s="13" t="s">
        <v>3</v>
      </c>
      <c r="E13" s="12">
        <f>E12*(1+'Fane 14. Nøgletal'!C14)</f>
        <v>170872.02300000002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n+dqVnnagbghW2B+PonjlhTjdqRN8BNghMF9HL+zyuZeg6sT1bA7ZtwhQhDuaeTKVz//9LNaeRlYeUSHDeOjbw==" saltValue="lYevYKzJdcezUmSjGEKsS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46484375" style="2" bestFit="1" customWidth="1"/>
    <col min="5" max="5" width="17.6640625" style="2" bestFit="1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8" t="s">
        <v>134</v>
      </c>
      <c r="C3" s="88"/>
      <c r="D3" s="88"/>
      <c r="E3" s="88"/>
      <c r="F3" s="88"/>
      <c r="G3" s="1"/>
    </row>
    <row r="4" spans="1:7" ht="15" customHeight="1" x14ac:dyDescent="0.45">
      <c r="A4" s="1"/>
      <c r="B4" s="88"/>
      <c r="C4" s="88"/>
      <c r="D4" s="88"/>
      <c r="E4" s="88"/>
      <c r="F4" s="8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0" t="s">
        <v>112</v>
      </c>
      <c r="C8" s="101"/>
      <c r="D8" s="101"/>
      <c r="E8" s="101"/>
      <c r="F8" s="102"/>
      <c r="G8" s="1"/>
    </row>
    <row r="9" spans="1:7" x14ac:dyDescent="0.4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45">
      <c r="A10" s="1"/>
      <c r="B10" s="25" t="s">
        <v>278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00" t="s">
        <v>113</v>
      </c>
      <c r="C16" s="101"/>
      <c r="D16" s="101"/>
      <c r="E16" s="101"/>
      <c r="F16" s="102"/>
      <c r="G16" s="1"/>
    </row>
    <row r="17" spans="1:7" x14ac:dyDescent="0.45">
      <c r="A17" s="1"/>
      <c r="B17" s="51" t="s">
        <v>18</v>
      </c>
      <c r="C17" s="51" t="s">
        <v>12</v>
      </c>
      <c r="D17" s="52"/>
      <c r="E17" s="51" t="s">
        <v>34</v>
      </c>
      <c r="F17" s="37"/>
      <c r="G17" s="1"/>
    </row>
    <row r="18" spans="1:7" x14ac:dyDescent="0.45">
      <c r="A18" s="1"/>
      <c r="B18" s="25" t="s">
        <v>278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00" t="s">
        <v>166</v>
      </c>
      <c r="C24" s="101"/>
      <c r="D24" s="101"/>
      <c r="E24" s="101"/>
      <c r="F24" s="102"/>
      <c r="G24" s="1"/>
    </row>
    <row r="25" spans="1:7" x14ac:dyDescent="0.45">
      <c r="A25" s="1"/>
      <c r="B25" s="51" t="s">
        <v>18</v>
      </c>
      <c r="C25" s="51" t="s">
        <v>12</v>
      </c>
      <c r="D25" s="52"/>
      <c r="E25" s="51" t="s">
        <v>34</v>
      </c>
      <c r="F25" s="37"/>
      <c r="G25" s="1"/>
    </row>
    <row r="26" spans="1:7" x14ac:dyDescent="0.45">
      <c r="A26" s="1"/>
      <c r="B26" s="25" t="s">
        <v>278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00" t="s">
        <v>224</v>
      </c>
      <c r="C32" s="101"/>
      <c r="D32" s="101"/>
      <c r="E32" s="101"/>
      <c r="F32" s="102"/>
      <c r="G32" s="1"/>
    </row>
    <row r="33" spans="1:7" x14ac:dyDescent="0.45">
      <c r="A33" s="1"/>
      <c r="B33" s="51" t="s">
        <v>18</v>
      </c>
      <c r="C33" s="51" t="s">
        <v>12</v>
      </c>
      <c r="D33" s="52"/>
      <c r="E33" s="51" t="s">
        <v>34</v>
      </c>
      <c r="F33" s="37"/>
      <c r="G33" s="1"/>
    </row>
    <row r="34" spans="1:7" x14ac:dyDescent="0.45">
      <c r="A34" s="1"/>
      <c r="B34" s="25" t="s">
        <v>278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aef9g8JN7R+y1k6o+DR7CFSjkDlPhQU+NwFx2fWL4uIMAtON8rmrt1qta10fQT51WOSnPsXi0Ii/BaDzN0Cydw==" saltValue="iInGm6rSGaEu5IppHirmg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136</v>
      </c>
      <c r="C3" s="93"/>
      <c r="D3" s="93"/>
      <c r="E3" s="93"/>
      <c r="F3" s="93"/>
      <c r="G3" s="1"/>
    </row>
    <row r="4" spans="1:7" ht="1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93"/>
      <c r="C5" s="93"/>
      <c r="D5" s="93"/>
      <c r="E5" s="93"/>
      <c r="F5" s="9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0" t="s">
        <v>103</v>
      </c>
      <c r="C8" s="101"/>
      <c r="D8" s="101"/>
      <c r="E8" s="101"/>
      <c r="F8" s="102"/>
      <c r="G8" s="1"/>
    </row>
    <row r="9" spans="1:7" x14ac:dyDescent="0.45">
      <c r="A9" s="1"/>
      <c r="B9" s="125" t="s">
        <v>226</v>
      </c>
      <c r="C9" s="126"/>
      <c r="D9" s="127"/>
      <c r="E9" s="9">
        <v>0</v>
      </c>
      <c r="F9" s="14" t="s">
        <v>3</v>
      </c>
      <c r="G9" s="1"/>
    </row>
    <row r="10" spans="1:7" x14ac:dyDescent="0.45">
      <c r="A10" s="1"/>
      <c r="B10" s="94" t="s">
        <v>10</v>
      </c>
      <c r="C10" s="95"/>
      <c r="D10" s="96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94" t="s">
        <v>26</v>
      </c>
      <c r="C11" s="95"/>
      <c r="D11" s="96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100" t="s">
        <v>105</v>
      </c>
      <c r="C12" s="101"/>
      <c r="D12" s="102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00" t="s">
        <v>104</v>
      </c>
      <c r="C14" s="101"/>
      <c r="D14" s="101"/>
      <c r="E14" s="101"/>
      <c r="F14" s="102"/>
      <c r="G14" s="1"/>
    </row>
    <row r="15" spans="1:7" ht="15" customHeight="1" x14ac:dyDescent="0.45">
      <c r="A15" s="1"/>
      <c r="B15" s="125" t="s">
        <v>226</v>
      </c>
      <c r="C15" s="126"/>
      <c r="D15" s="127"/>
      <c r="E15" s="9">
        <v>0</v>
      </c>
      <c r="F15" s="14" t="s">
        <v>3</v>
      </c>
      <c r="G15" s="1"/>
    </row>
    <row r="16" spans="1:7" x14ac:dyDescent="0.45">
      <c r="A16" s="1"/>
      <c r="B16" s="94" t="s">
        <v>10</v>
      </c>
      <c r="C16" s="95"/>
      <c r="D16" s="96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94" t="s">
        <v>26</v>
      </c>
      <c r="C17" s="95"/>
      <c r="D17" s="96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100" t="s">
        <v>106</v>
      </c>
      <c r="C18" s="101"/>
      <c r="D18" s="102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00" t="s">
        <v>155</v>
      </c>
      <c r="C20" s="101"/>
      <c r="D20" s="101"/>
      <c r="E20" s="101"/>
      <c r="F20" s="102"/>
      <c r="G20" s="1"/>
    </row>
    <row r="21" spans="1:7" ht="15" customHeight="1" x14ac:dyDescent="0.45">
      <c r="A21" s="1"/>
      <c r="B21" s="125" t="s">
        <v>226</v>
      </c>
      <c r="C21" s="126"/>
      <c r="D21" s="127"/>
      <c r="E21" s="9">
        <v>0</v>
      </c>
      <c r="F21" s="14" t="s">
        <v>3</v>
      </c>
      <c r="G21" s="1"/>
    </row>
    <row r="22" spans="1:7" x14ac:dyDescent="0.45">
      <c r="A22" s="1"/>
      <c r="B22" s="94" t="s">
        <v>10</v>
      </c>
      <c r="C22" s="95"/>
      <c r="D22" s="96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94" t="s">
        <v>26</v>
      </c>
      <c r="C23" s="95"/>
      <c r="D23" s="96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100" t="s">
        <v>156</v>
      </c>
      <c r="C24" s="101"/>
      <c r="D24" s="102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00" t="s">
        <v>227</v>
      </c>
      <c r="C26" s="101"/>
      <c r="D26" s="101"/>
      <c r="E26" s="101"/>
      <c r="F26" s="102"/>
      <c r="G26" s="1"/>
    </row>
    <row r="27" spans="1:7" ht="15" customHeight="1" x14ac:dyDescent="0.45">
      <c r="A27" s="1"/>
      <c r="B27" s="125" t="s">
        <v>226</v>
      </c>
      <c r="C27" s="126"/>
      <c r="D27" s="127"/>
      <c r="E27" s="9">
        <v>0</v>
      </c>
      <c r="F27" s="14" t="s">
        <v>3</v>
      </c>
      <c r="G27" s="1"/>
    </row>
    <row r="28" spans="1:7" x14ac:dyDescent="0.45">
      <c r="A28" s="1"/>
      <c r="B28" s="94" t="s">
        <v>10</v>
      </c>
      <c r="C28" s="95"/>
      <c r="D28" s="96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94" t="s">
        <v>26</v>
      </c>
      <c r="C29" s="95"/>
      <c r="D29" s="96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100" t="s">
        <v>228</v>
      </c>
      <c r="C30" s="101"/>
      <c r="D30" s="102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VQhj3Oh1Zhnp6uvH+xLVXgrH+/uVMDV/Qs0dw9aZD5tB8pF/s3LzK8xhTDqAT8H2Q1cVKqhFTIzZ1txlbXxdqw==" saltValue="/5w5Tcw1icmfSDhyNV/9E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46484375" style="2" customWidth="1"/>
    <col min="2" max="2" width="36.46484375" style="2" customWidth="1"/>
    <col min="3" max="3" width="15.53125" style="2" customWidth="1"/>
    <col min="4" max="4" width="3.33203125" style="2" customWidth="1"/>
    <col min="5" max="5" width="17.1328125" style="2" customWidth="1"/>
    <col min="6" max="6" width="3.332031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157</v>
      </c>
      <c r="C3" s="93"/>
      <c r="D3" s="93"/>
      <c r="E3" s="93"/>
      <c r="F3" s="93"/>
      <c r="G3" s="1"/>
    </row>
    <row r="4" spans="1:7" ht="25.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0" t="s">
        <v>158</v>
      </c>
      <c r="C8" s="101"/>
      <c r="D8" s="101"/>
      <c r="E8" s="101"/>
      <c r="F8" s="102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r0tBmLo28wNAjEvkH4tk8qUlQbgX0LcNm7qbpcsERzF9EEdFI5SC9zyr5HjFDGm+e/hx/MUqS09UIPRPwIsFxw==" saltValue="b294h8zEO4ta4knob99AL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46484375" style="2" customWidth="1"/>
    <col min="3" max="3" width="15.6640625" style="2" customWidth="1"/>
    <col min="4" max="4" width="3.33203125" style="2" customWidth="1"/>
    <col min="5" max="5" width="18.4648437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133</v>
      </c>
      <c r="C3" s="93"/>
      <c r="D3" s="93"/>
      <c r="E3" s="93"/>
      <c r="F3" s="93"/>
      <c r="G3" s="1"/>
    </row>
    <row r="4" spans="1:7" ht="25.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0" t="s">
        <v>107</v>
      </c>
      <c r="C8" s="101"/>
      <c r="D8" s="101"/>
      <c r="E8" s="101"/>
      <c r="F8" s="102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00" t="s">
        <v>108</v>
      </c>
      <c r="C14" s="101"/>
      <c r="D14" s="101"/>
      <c r="E14" s="101"/>
      <c r="F14" s="102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264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00" t="s">
        <v>169</v>
      </c>
      <c r="C20" s="101"/>
      <c r="D20" s="101"/>
      <c r="E20" s="101"/>
      <c r="F20" s="102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264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00" t="s">
        <v>231</v>
      </c>
      <c r="C26" s="101"/>
      <c r="D26" s="101"/>
      <c r="E26" s="101"/>
      <c r="F26" s="102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264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gpQzYz3CCv19tYfSCsGXEoyrbUgwIhuQi6dnMPfjZSJoyHztWoG3OHc+g89Q8fFHY1DF9oV2LbNtpeeuw+x1Mg==" saltValue="tpIxifjeN2KVOUQlV3Wz7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46484375" style="2" customWidth="1"/>
    <col min="3" max="3" width="6.33203125" style="2" customWidth="1"/>
    <col min="4" max="4" width="12.332031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3" t="s">
        <v>189</v>
      </c>
      <c r="C3" s="93"/>
      <c r="D3" s="1"/>
    </row>
    <row r="4" spans="1:4" ht="25.5" customHeight="1" x14ac:dyDescent="0.45">
      <c r="A4" s="1"/>
      <c r="B4" s="93"/>
      <c r="C4" s="9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2" t="s">
        <v>137</v>
      </c>
      <c r="C9" s="26">
        <v>1.2699999999999999E-2</v>
      </c>
      <c r="D9" s="1"/>
    </row>
    <row r="10" spans="1:4" x14ac:dyDescent="0.45">
      <c r="A10" s="1"/>
      <c r="B10" s="62" t="s">
        <v>138</v>
      </c>
      <c r="C10" s="26">
        <v>1.7500000000000002E-2</v>
      </c>
      <c r="D10" s="1"/>
    </row>
    <row r="11" spans="1:4" x14ac:dyDescent="0.45">
      <c r="A11" s="1"/>
      <c r="B11" s="62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2" t="s">
        <v>253</v>
      </c>
      <c r="C14" s="67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2" t="s">
        <v>139</v>
      </c>
      <c r="C19" s="23">
        <v>9.1000000000000004E-3</v>
      </c>
      <c r="D19" s="1"/>
    </row>
    <row r="20" spans="1:4" x14ac:dyDescent="0.45">
      <c r="A20" s="1"/>
      <c r="B20" s="62" t="s">
        <v>190</v>
      </c>
      <c r="C20" s="23">
        <v>1.77E-2</v>
      </c>
      <c r="D20" s="1"/>
    </row>
    <row r="21" spans="1:4" x14ac:dyDescent="0.45">
      <c r="A21" s="1"/>
      <c r="B21" s="62" t="s">
        <v>191</v>
      </c>
      <c r="C21" s="23">
        <v>8.6999999999999994E-3</v>
      </c>
      <c r="D21" s="1"/>
    </row>
    <row r="22" spans="1:4" x14ac:dyDescent="0.45">
      <c r="A22" s="1"/>
      <c r="B22" s="62" t="s">
        <v>140</v>
      </c>
      <c r="C22" s="41">
        <v>2.8400000000000002E-2</v>
      </c>
      <c r="D22" s="1"/>
    </row>
    <row r="23" spans="1:4" x14ac:dyDescent="0.45">
      <c r="A23" s="1"/>
      <c r="B23" s="62" t="s">
        <v>192</v>
      </c>
      <c r="C23" s="41">
        <v>2.75E-2</v>
      </c>
      <c r="D23" s="1"/>
    </row>
    <row r="24" spans="1:4" x14ac:dyDescent="0.45">
      <c r="A24" s="1"/>
      <c r="B24" s="62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2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T5AvcLjhTFIdHxKs0xVwO8T7YA2gnFpz8twJcmv0sfqG5fhpjLtuVgdQvfyRbbBUp8RIOxyj+0+oZcrL8dZVSg==" saltValue="BgoKKN9Vp6LBR6ns+W9TD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3125" style="2" customWidth="1"/>
    <col min="2" max="2" width="58.53125" style="2" customWidth="1"/>
    <col min="3" max="3" width="12.53125" style="2" customWidth="1"/>
    <col min="4" max="4" width="2.86328125" style="2" bestFit="1" customWidth="1"/>
    <col min="5" max="5" width="6.33203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194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21260903.614118546</v>
      </c>
      <c r="D9" s="8" t="s">
        <v>3</v>
      </c>
      <c r="E9" s="1"/>
    </row>
    <row r="10" spans="1:5" ht="17.100000000000001" customHeight="1" x14ac:dyDescent="0.45">
      <c r="A10" s="1"/>
      <c r="B10" s="50" t="s">
        <v>43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45">
      <c r="A11" s="1"/>
      <c r="B11" s="50" t="s">
        <v>44</v>
      </c>
      <c r="C11" s="9">
        <f>'Fane 10.1. Varige tillæg'!E13</f>
        <v>170872.02300000002</v>
      </c>
      <c r="D11" s="8" t="s">
        <v>3</v>
      </c>
      <c r="E11" s="1"/>
    </row>
    <row r="12" spans="1:5" ht="17.100000000000001" customHeight="1" x14ac:dyDescent="0.45">
      <c r="A12" s="1"/>
      <c r="B12" s="50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0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0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0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0" t="s">
        <v>20</v>
      </c>
      <c r="C16" s="9">
        <f>SUM(C9:C15)*'Fane 14. Nøgletal'!C14</f>
        <v>70724.859602491197</v>
      </c>
      <c r="D16" s="8" t="s">
        <v>3</v>
      </c>
      <c r="E16" s="1"/>
    </row>
    <row r="17" spans="1:5" ht="17.100000000000001" customHeight="1" x14ac:dyDescent="0.45">
      <c r="A17" s="1"/>
      <c r="B17" s="50" t="s">
        <v>10</v>
      </c>
      <c r="C17" s="9">
        <f>-SUM(C9:C16)*'Fane 5. Individuelt eff. krav'!G12</f>
        <v>-430050.00993442076</v>
      </c>
      <c r="D17" s="8" t="s">
        <v>3</v>
      </c>
      <c r="E17" s="1"/>
    </row>
    <row r="18" spans="1:5" ht="17.100000000000001" customHeight="1" x14ac:dyDescent="0.45">
      <c r="A18" s="1"/>
      <c r="B18" s="50" t="s">
        <v>26</v>
      </c>
      <c r="C18" s="9">
        <f>-'Fane 4.1. Gen. krav - drift'!G40</f>
        <v>-113972.32933756054</v>
      </c>
      <c r="D18" s="8" t="s">
        <v>3</v>
      </c>
      <c r="E18" s="1"/>
    </row>
    <row r="19" spans="1:5" ht="17.100000000000001" customHeight="1" x14ac:dyDescent="0.45">
      <c r="A19" s="1"/>
      <c r="B19" s="50" t="s">
        <v>27</v>
      </c>
      <c r="C19" s="9">
        <f>-'Fane 4.2. Gen. krav - anlæg'!G37</f>
        <v>-261560.5037120161</v>
      </c>
      <c r="D19" s="8" t="s">
        <v>3</v>
      </c>
      <c r="E19" s="1"/>
    </row>
    <row r="20" spans="1:5" ht="17.100000000000001" customHeight="1" x14ac:dyDescent="0.45">
      <c r="A20" s="1"/>
      <c r="B20" s="56" t="s">
        <v>22</v>
      </c>
      <c r="C20" s="10">
        <f>SUM(C9:C19)</f>
        <v>20696917.653737038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omk.'!C13+'Fane 6. Ikke-påvirkelige omk.'!C17+'Fane 6. Ikke-påvirkelige omk.'!C25</f>
        <v>8640726.1626650915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6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0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0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6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283</v>
      </c>
      <c r="C30" s="10">
        <f>'Fane 7. Kontrol af ØR2020'!E34</f>
        <v>-311668.51202524267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-3720.3760618590823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3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29022254.928315029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SiERgl6IhTLodx2OJT4e2NNqWhVapL7WuZSSkn7Q7nw57qMr6gXhkFLupj0CRltfxdEmDeyC/8eHO0U6XHq/wg==" saltValue="HZGgEt3abx3YgqXaHFuBP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33203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196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89" t="s">
        <v>23</v>
      </c>
      <c r="C5" s="89"/>
      <c r="D5" s="89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20696917.653737038</v>
      </c>
      <c r="D9" s="8" t="s">
        <v>3</v>
      </c>
      <c r="E9" s="1"/>
    </row>
    <row r="10" spans="1:5" ht="15" customHeight="1" x14ac:dyDescent="0.45">
      <c r="A10" s="1"/>
      <c r="B10" s="50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0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68299.828257332221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-415304.34963988746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drift'!G47</f>
        <v>-112061.469263887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-258539.78330432661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19979311.879786272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omk.'!C13*(1+'Fane 14. Nøgletal'!C14)+'Fane 6. Ikke-påvirkelige omk.'!C18+'Fane 6. Ikke-påvirkelige omk.'!C26</f>
        <v>8668405.9975594543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283</v>
      </c>
      <c r="C26" s="10">
        <f>'Fane 7. Kontrol af ØR2020'!E34</f>
        <v>-311668.51202524267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3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28336049.365320481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P+kHXhTDeYNRmJSrJiO4kohuYQo7SiU06btGZu4lehKyR7y1xyIxWfNVEnKUXFngnFr95RPu6SdrbXQsKIiNRw==" saltValue="nrILIFAJgMkv6X5l2h00j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197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89" t="s">
        <v>23</v>
      </c>
      <c r="C5" s="89"/>
      <c r="D5" s="89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19979311.879786272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65931.729203294701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-400904.87217979133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drift'!G55</f>
        <v>-110182.64667020866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-255553.9487133103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19278602.141426258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omk.'!C13*(1+'Fane 14. Nøgletal'!C14)^2+'Fane 6. Ikke-påvirkelige omk.'!C19+'Fane 6. Ikke-påvirkelige omk.'!C27</f>
        <v>8696177.5357201435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27974779.677146401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wBRxYP01BtM5VoGMEv6A21RbwqLoXTVl3C4bpOYrk68XrcUy3E8koV7EUq+bT9vfiiHBYM7/K4GPlskNceyeVg==" saltValue="idJj9ZMBcC19vDARWOAMc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3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198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89" t="s">
        <v>23</v>
      </c>
      <c r="C5" s="89"/>
      <c r="D5" s="89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19278602.141426258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63619.387066706651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-386844.43056985928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drift'!G61</f>
        <v>-108335.32441613596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-252602.59704825209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18594439.176458716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omk.'!C13*(1+'Fane 14. Nøgletal'!C14)^3+'Fane 6. Ikke-påvirkelige omk.'!C20+'Fane 6. Ikke-påvirkelige omk.'!C28</f>
        <v>8724040.0851651039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27318479.261623822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6biUBDrp6uEp8VFR9SlJq3o2fxZWb0uVVLTY9u2XaBJzok+krGr14yFV1bKmE0ef/Un1tOFq8rtRM3i2u+FFUQ==" saltValue="k4U+k0DCgrjAEvHbsJVYi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33203125" style="2" customWidth="1"/>
    <col min="3" max="3" width="12" style="2" customWidth="1"/>
    <col min="4" max="4" width="31.6640625" style="2" customWidth="1"/>
    <col min="5" max="5" width="10.86328125" style="2" customWidth="1"/>
    <col min="6" max="6" width="3.531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250</v>
      </c>
      <c r="C3" s="93"/>
      <c r="D3" s="93"/>
      <c r="E3" s="93"/>
      <c r="F3" s="93"/>
      <c r="G3" s="1"/>
    </row>
    <row r="4" spans="1:7" ht="29.2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276</v>
      </c>
      <c r="C8" s="32"/>
      <c r="D8" s="32"/>
      <c r="E8" s="32"/>
      <c r="F8" s="20"/>
      <c r="G8" s="1"/>
    </row>
    <row r="9" spans="1:7" ht="15" customHeight="1" x14ac:dyDescent="0.45">
      <c r="A9" s="1"/>
      <c r="B9" s="90" t="s">
        <v>25</v>
      </c>
      <c r="C9" s="91"/>
      <c r="D9" s="92"/>
      <c r="E9" s="7">
        <v>21394978.384543076</v>
      </c>
      <c r="F9" s="8" t="s">
        <v>3</v>
      </c>
      <c r="G9" s="1"/>
    </row>
    <row r="10" spans="1:7" ht="15" customHeight="1" x14ac:dyDescent="0.45">
      <c r="A10" s="1"/>
      <c r="B10" s="94" t="s">
        <v>43</v>
      </c>
      <c r="C10" s="95"/>
      <c r="D10" s="96"/>
      <c r="E10" s="7">
        <v>0</v>
      </c>
      <c r="F10" s="8" t="s">
        <v>3</v>
      </c>
      <c r="G10" s="1"/>
    </row>
    <row r="11" spans="1:7" ht="15" customHeight="1" x14ac:dyDescent="0.45">
      <c r="A11" s="1"/>
      <c r="B11" s="94" t="s">
        <v>44</v>
      </c>
      <c r="C11" s="95"/>
      <c r="D11" s="96"/>
      <c r="E11" s="9">
        <v>275733.402</v>
      </c>
      <c r="F11" s="8" t="s">
        <v>3</v>
      </c>
      <c r="G11" s="1"/>
    </row>
    <row r="12" spans="1:7" ht="15" customHeight="1" x14ac:dyDescent="0.45">
      <c r="A12" s="1"/>
      <c r="B12" s="94" t="s">
        <v>29</v>
      </c>
      <c r="C12" s="95"/>
      <c r="D12" s="96"/>
      <c r="E12" s="9">
        <v>0</v>
      </c>
      <c r="F12" s="8" t="s">
        <v>3</v>
      </c>
      <c r="G12" s="1"/>
    </row>
    <row r="13" spans="1:7" ht="15" customHeight="1" x14ac:dyDescent="0.45">
      <c r="A13" s="1"/>
      <c r="B13" s="90" t="s">
        <v>28</v>
      </c>
      <c r="C13" s="91"/>
      <c r="D13" s="92"/>
      <c r="E13" s="9">
        <v>0</v>
      </c>
      <c r="F13" s="8" t="s">
        <v>3</v>
      </c>
      <c r="G13" s="1"/>
    </row>
    <row r="14" spans="1:7" ht="15" customHeight="1" x14ac:dyDescent="0.45">
      <c r="A14" s="1"/>
      <c r="B14" s="90" t="s">
        <v>31</v>
      </c>
      <c r="C14" s="91"/>
      <c r="D14" s="92"/>
      <c r="E14" s="9">
        <v>0</v>
      </c>
      <c r="F14" s="8" t="s">
        <v>3</v>
      </c>
      <c r="G14" s="1"/>
    </row>
    <row r="15" spans="1:7" ht="15" customHeight="1" x14ac:dyDescent="0.45">
      <c r="A15" s="1"/>
      <c r="B15" s="90" t="s">
        <v>30</v>
      </c>
      <c r="C15" s="91"/>
      <c r="D15" s="92"/>
      <c r="E15" s="9">
        <v>0</v>
      </c>
      <c r="F15" s="8" t="s">
        <v>3</v>
      </c>
      <c r="G15" s="1"/>
    </row>
    <row r="16" spans="1:7" ht="15" customHeight="1" x14ac:dyDescent="0.45">
      <c r="A16" s="1"/>
      <c r="B16" s="90" t="s">
        <v>20</v>
      </c>
      <c r="C16" s="91"/>
      <c r="D16" s="92"/>
      <c r="E16" s="9">
        <v>424845.02167989855</v>
      </c>
      <c r="F16" s="8" t="s">
        <v>3</v>
      </c>
      <c r="G16" s="1"/>
    </row>
    <row r="17" spans="1:7" ht="15" customHeight="1" x14ac:dyDescent="0.45">
      <c r="A17" s="1"/>
      <c r="B17" s="90" t="s">
        <v>10</v>
      </c>
      <c r="C17" s="91"/>
      <c r="D17" s="92"/>
      <c r="E17" s="9">
        <v>-209105.28877127811</v>
      </c>
      <c r="F17" s="8" t="s">
        <v>3</v>
      </c>
      <c r="G17" s="1"/>
    </row>
    <row r="18" spans="1:7" ht="15" customHeight="1" x14ac:dyDescent="0.45">
      <c r="A18" s="1"/>
      <c r="B18" s="90" t="s">
        <v>26</v>
      </c>
      <c r="C18" s="91"/>
      <c r="D18" s="92"/>
      <c r="E18" s="9">
        <f>-'Fane 4.1. Gen. krav - drift'!G34</f>
        <v>-115915.77319087881</v>
      </c>
      <c r="F18" s="8" t="s">
        <v>3</v>
      </c>
      <c r="G18" s="1"/>
    </row>
    <row r="19" spans="1:7" ht="15" customHeight="1" x14ac:dyDescent="0.45">
      <c r="A19" s="1"/>
      <c r="B19" s="90" t="s">
        <v>27</v>
      </c>
      <c r="C19" s="91"/>
      <c r="D19" s="92"/>
      <c r="E19" s="9">
        <f>-'Fane 4.2. Gen. krav - anlæg'!G31</f>
        <v>-509632.13214226754</v>
      </c>
      <c r="F19" s="8" t="s">
        <v>3</v>
      </c>
      <c r="G19" s="1"/>
    </row>
    <row r="20" spans="1:7" ht="15" customHeight="1" x14ac:dyDescent="0.45">
      <c r="A20" s="1"/>
      <c r="B20" s="56" t="s">
        <v>22</v>
      </c>
      <c r="C20" s="57"/>
      <c r="D20" s="64"/>
      <c r="E20" s="10">
        <f>SUM(E9:E19)</f>
        <v>21260903.614118546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7" t="s">
        <v>13</v>
      </c>
      <c r="C22" s="98"/>
      <c r="D22" s="99"/>
      <c r="E22" s="10">
        <v>8881298.3995421194</v>
      </c>
      <c r="F22" s="11" t="s">
        <v>3</v>
      </c>
      <c r="G22" s="1"/>
    </row>
    <row r="23" spans="1:7" ht="15" customHeight="1" x14ac:dyDescent="0.45">
      <c r="A23" s="1"/>
      <c r="B23" s="100" t="s">
        <v>94</v>
      </c>
      <c r="C23" s="101"/>
      <c r="D23" s="102"/>
      <c r="E23" s="32"/>
      <c r="F23" s="32"/>
      <c r="G23" s="1"/>
    </row>
    <row r="24" spans="1:7" ht="15" customHeight="1" x14ac:dyDescent="0.45">
      <c r="A24" s="1"/>
      <c r="B24" s="56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94" t="s">
        <v>89</v>
      </c>
      <c r="C26" s="95"/>
      <c r="D26" s="96"/>
      <c r="E26" s="9">
        <v>0</v>
      </c>
      <c r="F26" s="8" t="s">
        <v>3</v>
      </c>
      <c r="G26" s="1"/>
    </row>
    <row r="27" spans="1:7" ht="15" customHeight="1" x14ac:dyDescent="0.45">
      <c r="A27" s="1"/>
      <c r="B27" s="94" t="s">
        <v>90</v>
      </c>
      <c r="C27" s="95"/>
      <c r="D27" s="95"/>
      <c r="E27" s="9">
        <v>0</v>
      </c>
      <c r="F27" s="8" t="s">
        <v>3</v>
      </c>
      <c r="G27" s="1"/>
    </row>
    <row r="28" spans="1:7" ht="15" customHeight="1" x14ac:dyDescent="0.45">
      <c r="A28" s="1"/>
      <c r="B28" s="103" t="s">
        <v>95</v>
      </c>
      <c r="C28" s="104"/>
      <c r="D28" s="104"/>
      <c r="E28" s="45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7" t="s">
        <v>185</v>
      </c>
      <c r="C30" s="98"/>
      <c r="D30" s="98"/>
      <c r="E30" s="45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5" customHeight="1" x14ac:dyDescent="0.45">
      <c r="A32" s="1"/>
      <c r="B32" s="97" t="s">
        <v>148</v>
      </c>
      <c r="C32" s="98"/>
      <c r="D32" s="99"/>
      <c r="E32" s="10">
        <v>22627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30164829.013660666</v>
      </c>
      <c r="F33" s="13" t="s">
        <v>3</v>
      </c>
      <c r="G33" s="1"/>
    </row>
    <row r="34" spans="1:7" ht="27" customHeight="1" x14ac:dyDescent="0.45">
      <c r="A34" s="1"/>
      <c r="B34" s="90" t="s">
        <v>252</v>
      </c>
      <c r="C34" s="91"/>
      <c r="D34" s="91"/>
      <c r="E34" s="91"/>
      <c r="F34" s="92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iH7K5TTRSsAbbAvLqu4GOluHWzjN4AI4kWM7a6bPV7ccqBMHSHYXE7rFlrQDIcNo9KTDx6bVPIoqzVf2EUrL6w==" saltValue="baWvAU8VJ6v0x2yeXotlDw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33203125" style="2" customWidth="1"/>
    <col min="8" max="8" width="4.33203125" style="2" customWidth="1"/>
    <col min="9" max="9" width="6.6640625" style="2" customWidth="1"/>
    <col min="10" max="16384" width="9.1328125" style="2"/>
  </cols>
  <sheetData>
    <row r="1" spans="1:9" ht="15" customHeight="1" x14ac:dyDescent="0.45">
      <c r="A1" s="68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93" t="s">
        <v>130</v>
      </c>
      <c r="C2" s="93"/>
      <c r="D2" s="93"/>
      <c r="E2" s="93"/>
      <c r="F2" s="93"/>
      <c r="G2" s="93"/>
      <c r="H2" s="93"/>
      <c r="I2" s="1"/>
    </row>
    <row r="3" spans="1:9" ht="28.5" customHeight="1" x14ac:dyDescent="0.45">
      <c r="A3" s="1"/>
      <c r="B3" s="93"/>
      <c r="C3" s="93"/>
      <c r="D3" s="93"/>
      <c r="E3" s="93"/>
      <c r="F3" s="93"/>
      <c r="G3" s="93"/>
      <c r="H3" s="93"/>
      <c r="I3" s="1"/>
    </row>
    <row r="4" spans="1:9" ht="14.25" customHeight="1" x14ac:dyDescent="0.4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45">
      <c r="A5" s="1"/>
      <c r="B5" s="100" t="s">
        <v>56</v>
      </c>
      <c r="C5" s="101"/>
      <c r="D5" s="101"/>
      <c r="E5" s="101"/>
      <c r="F5" s="101"/>
      <c r="G5" s="101"/>
      <c r="H5" s="102"/>
      <c r="I5" s="1"/>
    </row>
    <row r="6" spans="1:9" x14ac:dyDescent="0.45">
      <c r="A6" s="1"/>
      <c r="B6" s="105" t="s">
        <v>45</v>
      </c>
      <c r="C6" s="106"/>
      <c r="D6" s="106"/>
      <c r="E6" s="106"/>
      <c r="F6" s="107"/>
      <c r="G6" s="24">
        <v>5844966.4141154606</v>
      </c>
      <c r="H6" s="14" t="s">
        <v>3</v>
      </c>
      <c r="I6" s="1"/>
    </row>
    <row r="7" spans="1:9" x14ac:dyDescent="0.45">
      <c r="A7" s="1"/>
      <c r="B7" s="90" t="s">
        <v>145</v>
      </c>
      <c r="C7" s="91"/>
      <c r="D7" s="91"/>
      <c r="E7" s="91"/>
      <c r="F7" s="92"/>
      <c r="G7" s="69">
        <v>0</v>
      </c>
      <c r="H7" s="14" t="s">
        <v>3</v>
      </c>
      <c r="I7" s="1"/>
    </row>
    <row r="8" spans="1:9" x14ac:dyDescent="0.45">
      <c r="A8" s="1"/>
      <c r="B8" s="105" t="s">
        <v>46</v>
      </c>
      <c r="C8" s="106"/>
      <c r="D8" s="106"/>
      <c r="E8" s="106"/>
      <c r="F8" s="107"/>
      <c r="G8" s="24">
        <f>SUM(G6:G7)*'Fane 14. Nøgletal'!C29</f>
        <v>116899.32828230922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100" t="s">
        <v>57</v>
      </c>
      <c r="C11" s="101"/>
      <c r="D11" s="101"/>
      <c r="E11" s="101"/>
      <c r="F11" s="101"/>
      <c r="G11" s="101"/>
      <c r="H11" s="102"/>
      <c r="I11" s="1"/>
    </row>
    <row r="12" spans="1:9" x14ac:dyDescent="0.45">
      <c r="A12" s="1"/>
      <c r="B12" s="105" t="s">
        <v>47</v>
      </c>
      <c r="C12" s="106"/>
      <c r="D12" s="106"/>
      <c r="E12" s="106"/>
      <c r="F12" s="107"/>
      <c r="G12" s="24">
        <f>(G6-G8)*(1+'Fane 14. Nøgletal'!C10)</f>
        <v>5828308.259835232</v>
      </c>
      <c r="H12" s="14" t="s">
        <v>3</v>
      </c>
      <c r="I12" s="1"/>
    </row>
    <row r="13" spans="1:9" ht="15" customHeight="1" x14ac:dyDescent="0.45">
      <c r="A13" s="1"/>
      <c r="B13" s="105" t="s">
        <v>146</v>
      </c>
      <c r="C13" s="106"/>
      <c r="D13" s="106"/>
      <c r="E13" s="106"/>
      <c r="F13" s="107"/>
      <c r="G13" s="24">
        <v>-7878.4385038286473</v>
      </c>
      <c r="H13" s="14" t="s">
        <v>3</v>
      </c>
      <c r="I13" s="1"/>
    </row>
    <row r="14" spans="1:9" x14ac:dyDescent="0.45">
      <c r="A14" s="1"/>
      <c r="B14" s="90" t="s">
        <v>143</v>
      </c>
      <c r="C14" s="91"/>
      <c r="D14" s="91"/>
      <c r="E14" s="91"/>
      <c r="F14" s="92"/>
      <c r="G14" s="69">
        <v>0</v>
      </c>
      <c r="H14" s="14" t="s">
        <v>3</v>
      </c>
      <c r="I14" s="1"/>
    </row>
    <row r="15" spans="1:9" x14ac:dyDescent="0.45">
      <c r="A15" s="1"/>
      <c r="B15" s="111" t="s">
        <v>48</v>
      </c>
      <c r="C15" s="112"/>
      <c r="D15" s="112"/>
      <c r="E15" s="112"/>
      <c r="F15" s="113"/>
      <c r="G15" s="69">
        <v>0</v>
      </c>
      <c r="H15" s="14" t="s">
        <v>3</v>
      </c>
      <c r="I15" s="1"/>
    </row>
    <row r="16" spans="1:9" x14ac:dyDescent="0.45">
      <c r="A16" s="1"/>
      <c r="B16" s="105" t="s">
        <v>49</v>
      </c>
      <c r="C16" s="106"/>
      <c r="D16" s="106"/>
      <c r="E16" s="106"/>
      <c r="F16" s="107"/>
      <c r="G16" s="24">
        <f>SUM(G12:G15)*'Fane 14. Nøgletal'!C29</f>
        <v>116408.59642662806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00" t="s">
        <v>58</v>
      </c>
      <c r="C19" s="101"/>
      <c r="D19" s="101"/>
      <c r="E19" s="101"/>
      <c r="F19" s="101"/>
      <c r="G19" s="101"/>
      <c r="H19" s="102"/>
      <c r="I19" s="1"/>
    </row>
    <row r="20" spans="1:9" x14ac:dyDescent="0.45">
      <c r="A20" s="1"/>
      <c r="B20" s="105" t="s">
        <v>50</v>
      </c>
      <c r="C20" s="106"/>
      <c r="D20" s="106"/>
      <c r="E20" s="106"/>
      <c r="F20" s="107"/>
      <c r="G20" s="24">
        <f>(SUM(G12:G13,G15)-(G16))*(1+'Fane 14. Nøgletal'!C10)</f>
        <v>5803841.5963406097</v>
      </c>
      <c r="H20" s="14" t="s">
        <v>3</v>
      </c>
      <c r="I20" s="1"/>
    </row>
    <row r="21" spans="1:9" x14ac:dyDescent="0.45">
      <c r="A21" s="1"/>
      <c r="B21" s="111" t="s">
        <v>51</v>
      </c>
      <c r="C21" s="112"/>
      <c r="D21" s="112"/>
      <c r="E21" s="112"/>
      <c r="F21" s="113"/>
      <c r="G21" s="69">
        <v>0</v>
      </c>
      <c r="H21" s="14" t="s">
        <v>3</v>
      </c>
      <c r="I21" s="1"/>
    </row>
    <row r="22" spans="1:9" x14ac:dyDescent="0.45">
      <c r="A22" s="1"/>
      <c r="B22" s="105" t="s">
        <v>52</v>
      </c>
      <c r="C22" s="106"/>
      <c r="D22" s="106"/>
      <c r="E22" s="106"/>
      <c r="F22" s="107"/>
      <c r="G22" s="24">
        <f>SUM(G20:G21)*'Fane 14. Nøgletal'!C29</f>
        <v>116076.8319268122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00" t="s">
        <v>59</v>
      </c>
      <c r="C25" s="101"/>
      <c r="D25" s="101"/>
      <c r="E25" s="101"/>
      <c r="F25" s="101"/>
      <c r="G25" s="101"/>
      <c r="H25" s="102"/>
      <c r="I25" s="1"/>
    </row>
    <row r="26" spans="1:9" x14ac:dyDescent="0.45">
      <c r="A26" s="1"/>
      <c r="B26" s="105" t="s">
        <v>53</v>
      </c>
      <c r="C26" s="106"/>
      <c r="D26" s="106"/>
      <c r="E26" s="106"/>
      <c r="F26" s="107"/>
      <c r="G26" s="24">
        <f>(G20+G21-G22)*(1+'Fane 14. Nøgletal'!C12)</f>
        <v>5799813.7302727494</v>
      </c>
      <c r="H26" s="14" t="s">
        <v>3</v>
      </c>
      <c r="I26" s="1"/>
    </row>
    <row r="27" spans="1:9" x14ac:dyDescent="0.45">
      <c r="A27" s="1"/>
      <c r="B27" s="111" t="s">
        <v>54</v>
      </c>
      <c r="C27" s="112"/>
      <c r="D27" s="112"/>
      <c r="E27" s="112"/>
      <c r="F27" s="113"/>
      <c r="G27" s="69">
        <v>0</v>
      </c>
      <c r="H27" s="14" t="s">
        <v>3</v>
      </c>
      <c r="I27" s="1"/>
    </row>
    <row r="28" spans="1:9" x14ac:dyDescent="0.45">
      <c r="A28" s="1"/>
      <c r="B28" s="105" t="s">
        <v>55</v>
      </c>
      <c r="C28" s="106"/>
      <c r="D28" s="106"/>
      <c r="E28" s="106"/>
      <c r="F28" s="107"/>
      <c r="G28" s="24">
        <f>(G26+G27)*'Fane 14. Nøgletal'!C29</f>
        <v>115996.27460545499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00" t="s">
        <v>62</v>
      </c>
      <c r="C31" s="101"/>
      <c r="D31" s="101"/>
      <c r="E31" s="101"/>
      <c r="F31" s="101"/>
      <c r="G31" s="101"/>
      <c r="H31" s="102"/>
      <c r="I31" s="1"/>
    </row>
    <row r="32" spans="1:9" x14ac:dyDescent="0.45">
      <c r="A32" s="1"/>
      <c r="B32" s="105" t="s">
        <v>63</v>
      </c>
      <c r="C32" s="106"/>
      <c r="D32" s="106"/>
      <c r="E32" s="106"/>
      <c r="F32" s="107"/>
      <c r="G32" s="24">
        <f>(G26+G27-G28)*(1+'Fane 14. Nøgletal'!C12)</f>
        <v>5795788.6595439408</v>
      </c>
      <c r="H32" s="14" t="s">
        <v>3</v>
      </c>
      <c r="I32" s="1"/>
    </row>
    <row r="33" spans="1:9" x14ac:dyDescent="0.45">
      <c r="A33" s="1"/>
      <c r="B33" s="105" t="s">
        <v>171</v>
      </c>
      <c r="C33" s="106"/>
      <c r="D33" s="106"/>
      <c r="E33" s="106"/>
      <c r="F33" s="107"/>
      <c r="G33" s="69">
        <v>0</v>
      </c>
      <c r="H33" s="14" t="s">
        <v>3</v>
      </c>
      <c r="I33" s="1"/>
    </row>
    <row r="34" spans="1:9" x14ac:dyDescent="0.45">
      <c r="A34" s="1"/>
      <c r="B34" s="105" t="s">
        <v>64</v>
      </c>
      <c r="C34" s="106"/>
      <c r="D34" s="106"/>
      <c r="E34" s="106"/>
      <c r="F34" s="107"/>
      <c r="G34" s="24">
        <f>(G32+G33)*'Fane 14. Nøgletal'!C29</f>
        <v>115915.77319087881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00" t="s">
        <v>232</v>
      </c>
      <c r="C37" s="101"/>
      <c r="D37" s="101"/>
      <c r="E37" s="101"/>
      <c r="F37" s="101"/>
      <c r="G37" s="101"/>
      <c r="H37" s="102"/>
      <c r="I37" s="1"/>
    </row>
    <row r="38" spans="1:9" x14ac:dyDescent="0.45">
      <c r="A38" s="1"/>
      <c r="B38" s="105" t="s">
        <v>84</v>
      </c>
      <c r="C38" s="106"/>
      <c r="D38" s="106"/>
      <c r="E38" s="106"/>
      <c r="F38" s="107"/>
      <c r="G38" s="24">
        <f>(G32+G33-G34)*(1+'Fane 14. Nøgletal'!C14)</f>
        <v>5698616.4668780267</v>
      </c>
      <c r="H38" s="14" t="s">
        <v>3</v>
      </c>
      <c r="I38" s="1"/>
    </row>
    <row r="39" spans="1:9" x14ac:dyDescent="0.45">
      <c r="A39" s="1"/>
      <c r="B39" s="105" t="s">
        <v>236</v>
      </c>
      <c r="C39" s="106"/>
      <c r="D39" s="106"/>
      <c r="E39" s="106"/>
      <c r="F39" s="107"/>
      <c r="G39" s="69">
        <v>0</v>
      </c>
      <c r="H39" s="14" t="s">
        <v>3</v>
      </c>
      <c r="I39" s="1"/>
    </row>
    <row r="40" spans="1:9" x14ac:dyDescent="0.45">
      <c r="A40" s="1"/>
      <c r="B40" s="105" t="s">
        <v>234</v>
      </c>
      <c r="C40" s="106"/>
      <c r="D40" s="106"/>
      <c r="E40" s="106"/>
      <c r="F40" s="107"/>
      <c r="G40" s="24">
        <f>(G38+G39)*'Fane 14. Nøgletal'!C29</f>
        <v>113972.32933756054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00" t="s">
        <v>233</v>
      </c>
      <c r="C43" s="101"/>
      <c r="D43" s="101"/>
      <c r="E43" s="101"/>
      <c r="F43" s="101"/>
      <c r="G43" s="101"/>
      <c r="H43" s="102"/>
      <c r="I43" s="1"/>
    </row>
    <row r="44" spans="1:9" x14ac:dyDescent="0.45">
      <c r="A44" s="1"/>
      <c r="B44" s="105" t="s">
        <v>83</v>
      </c>
      <c r="C44" s="106"/>
      <c r="D44" s="106"/>
      <c r="E44" s="106"/>
      <c r="F44" s="107"/>
      <c r="G44" s="24">
        <f>(G38+G39-G40)*(1+'Fane 14. Nøgletal'!C14)</f>
        <v>5603073.4631943498</v>
      </c>
      <c r="H44" s="14" t="s">
        <v>3</v>
      </c>
      <c r="I44" s="1"/>
    </row>
    <row r="45" spans="1:9" x14ac:dyDescent="0.45">
      <c r="A45" s="1"/>
      <c r="B45" s="108" t="s">
        <v>237</v>
      </c>
      <c r="C45" s="109"/>
      <c r="D45" s="109"/>
      <c r="E45" s="109"/>
      <c r="F45" s="110"/>
      <c r="G45" s="69">
        <v>0</v>
      </c>
      <c r="H45" s="14" t="s">
        <v>3</v>
      </c>
      <c r="I45" s="1"/>
    </row>
    <row r="46" spans="1:9" x14ac:dyDescent="0.45">
      <c r="A46" s="1"/>
      <c r="B46" s="105" t="s">
        <v>97</v>
      </c>
      <c r="C46" s="106"/>
      <c r="D46" s="106"/>
      <c r="E46" s="106"/>
      <c r="F46" s="107"/>
      <c r="G46" s="69">
        <v>0</v>
      </c>
      <c r="H46" s="14" t="s">
        <v>3</v>
      </c>
      <c r="I46" s="1"/>
    </row>
    <row r="47" spans="1:9" x14ac:dyDescent="0.45">
      <c r="A47" s="1"/>
      <c r="B47" s="105" t="s">
        <v>235</v>
      </c>
      <c r="C47" s="106"/>
      <c r="D47" s="106"/>
      <c r="E47" s="106"/>
      <c r="F47" s="107"/>
      <c r="G47" s="24">
        <f>(G44+G46)*'Fane 14. Nøgletal'!C29</f>
        <v>112061.469263887</v>
      </c>
      <c r="H47" s="14" t="s">
        <v>3</v>
      </c>
      <c r="I47" s="1"/>
    </row>
    <row r="48" spans="1:9" x14ac:dyDescent="0.4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00" t="s">
        <v>172</v>
      </c>
      <c r="C52" s="101"/>
      <c r="D52" s="101"/>
      <c r="E52" s="101"/>
      <c r="F52" s="101"/>
      <c r="G52" s="101"/>
      <c r="H52" s="102"/>
      <c r="I52" s="1"/>
    </row>
    <row r="53" spans="1:9" x14ac:dyDescent="0.45">
      <c r="A53" s="1"/>
      <c r="B53" s="105" t="s">
        <v>173</v>
      </c>
      <c r="C53" s="106"/>
      <c r="D53" s="106"/>
      <c r="E53" s="106"/>
      <c r="F53" s="107"/>
      <c r="G53" s="24">
        <f>(G44+G46-G47)*(1+'Fane 14. Nøgletal'!C14)</f>
        <v>5509132.3335104333</v>
      </c>
      <c r="H53" s="14" t="s">
        <v>3</v>
      </c>
      <c r="I53" s="1"/>
    </row>
    <row r="54" spans="1:9" x14ac:dyDescent="0.45">
      <c r="A54" s="1"/>
      <c r="B54" s="105" t="s">
        <v>174</v>
      </c>
      <c r="C54" s="106"/>
      <c r="D54" s="106"/>
      <c r="E54" s="106"/>
      <c r="F54" s="107"/>
      <c r="G54" s="69">
        <v>0</v>
      </c>
      <c r="H54" s="14" t="s">
        <v>3</v>
      </c>
      <c r="I54" s="1"/>
    </row>
    <row r="55" spans="1:9" x14ac:dyDescent="0.45">
      <c r="A55" s="1"/>
      <c r="B55" s="105" t="s">
        <v>175</v>
      </c>
      <c r="C55" s="106"/>
      <c r="D55" s="106"/>
      <c r="E55" s="106"/>
      <c r="F55" s="107"/>
      <c r="G55" s="24">
        <f>(G53+G54)*'Fane 14. Nøgletal'!C29</f>
        <v>110182.64667020866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53" t="s">
        <v>201</v>
      </c>
      <c r="C58" s="54"/>
      <c r="D58" s="54"/>
      <c r="E58" s="54"/>
      <c r="F58" s="54"/>
      <c r="G58" s="54"/>
      <c r="H58" s="55"/>
      <c r="I58" s="1"/>
    </row>
    <row r="59" spans="1:9" x14ac:dyDescent="0.45">
      <c r="A59" s="1"/>
      <c r="B59" s="59" t="s">
        <v>202</v>
      </c>
      <c r="C59" s="60"/>
      <c r="D59" s="60"/>
      <c r="E59" s="60"/>
      <c r="F59" s="61"/>
      <c r="G59" s="24">
        <f>(G53+G54-G55)*(1+'Fane 14. Nøgletal'!C14)</f>
        <v>5416766.220806798</v>
      </c>
      <c r="H59" s="14" t="s">
        <v>3</v>
      </c>
      <c r="I59" s="1"/>
    </row>
    <row r="60" spans="1:9" x14ac:dyDescent="0.45">
      <c r="A60" s="1"/>
      <c r="B60" s="59" t="s">
        <v>203</v>
      </c>
      <c r="C60" s="60"/>
      <c r="D60" s="60"/>
      <c r="E60" s="60"/>
      <c r="F60" s="61"/>
      <c r="G60" s="69">
        <v>0</v>
      </c>
      <c r="H60" s="14" t="s">
        <v>3</v>
      </c>
      <c r="I60" s="1"/>
    </row>
    <row r="61" spans="1:9" x14ac:dyDescent="0.45">
      <c r="A61" s="1"/>
      <c r="B61" s="59" t="s">
        <v>204</v>
      </c>
      <c r="C61" s="60"/>
      <c r="D61" s="60"/>
      <c r="E61" s="60"/>
      <c r="F61" s="61"/>
      <c r="G61" s="24">
        <f>(G59+G60)*'Fane 14. Nøgletal'!C29</f>
        <v>108335.32441613596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TLmKOVYEfbN2xwDG9Z3nk0wRdBURZ+jnWs2+YdCGdt2c45+/H2VpIRlsVeoxGvBOhHS4TpY7xRXsIaXI1uvrWg==" saltValue="43I5sCmIbiewBPyO4y4hvg==" spinCount="100000" sheet="1" objects="1" scenarios="1"/>
  <mergeCells count="36"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4.25" customHeight="1" x14ac:dyDescent="0.45">
      <c r="A1" s="68"/>
      <c r="B1" s="114" t="s">
        <v>131</v>
      </c>
      <c r="C1" s="114"/>
      <c r="D1" s="114"/>
      <c r="E1" s="114"/>
      <c r="F1" s="114"/>
      <c r="G1" s="114"/>
      <c r="H1" s="114"/>
      <c r="I1" s="1"/>
    </row>
    <row r="2" spans="1:9" ht="15" customHeight="1" x14ac:dyDescent="0.45">
      <c r="A2" s="1"/>
      <c r="B2" s="114"/>
      <c r="C2" s="114"/>
      <c r="D2" s="114"/>
      <c r="E2" s="114"/>
      <c r="F2" s="114"/>
      <c r="G2" s="114"/>
      <c r="H2" s="114"/>
      <c r="I2" s="1"/>
    </row>
    <row r="3" spans="1:9" ht="15" customHeight="1" x14ac:dyDescent="0.45">
      <c r="A3" s="1"/>
      <c r="B3" s="115"/>
      <c r="C3" s="115"/>
      <c r="D3" s="115"/>
      <c r="E3" s="115"/>
      <c r="F3" s="115"/>
      <c r="G3" s="115"/>
      <c r="H3" s="115"/>
      <c r="I3" s="1"/>
    </row>
    <row r="4" spans="1:9" x14ac:dyDescent="0.45">
      <c r="A4" s="1"/>
      <c r="B4" s="100" t="s">
        <v>60</v>
      </c>
      <c r="C4" s="101"/>
      <c r="D4" s="101"/>
      <c r="E4" s="101"/>
      <c r="F4" s="101"/>
      <c r="G4" s="101"/>
      <c r="H4" s="102"/>
      <c r="I4" s="1"/>
    </row>
    <row r="5" spans="1:9" x14ac:dyDescent="0.45">
      <c r="A5" s="1"/>
      <c r="B5" s="105" t="s">
        <v>65</v>
      </c>
      <c r="C5" s="106"/>
      <c r="D5" s="106"/>
      <c r="E5" s="106"/>
      <c r="F5" s="107"/>
      <c r="G5" s="24">
        <v>17144825.19178075</v>
      </c>
      <c r="H5" s="14" t="s">
        <v>3</v>
      </c>
      <c r="I5" s="1"/>
    </row>
    <row r="6" spans="1:9" x14ac:dyDescent="0.45">
      <c r="A6" s="1"/>
      <c r="B6" s="105" t="s">
        <v>61</v>
      </c>
      <c r="C6" s="106"/>
      <c r="D6" s="106"/>
      <c r="E6" s="106"/>
      <c r="F6" s="107"/>
      <c r="G6" s="24">
        <f>G5*'Fane 14. Nøgletal'!C19</f>
        <v>156017.90924520482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100" t="s">
        <v>66</v>
      </c>
      <c r="C9" s="101"/>
      <c r="D9" s="101"/>
      <c r="E9" s="101"/>
      <c r="F9" s="101"/>
      <c r="G9" s="101"/>
      <c r="H9" s="102"/>
      <c r="I9" s="1"/>
    </row>
    <row r="10" spans="1:9" x14ac:dyDescent="0.45">
      <c r="A10" s="1"/>
      <c r="B10" s="105" t="s">
        <v>67</v>
      </c>
      <c r="C10" s="106"/>
      <c r="D10" s="106"/>
      <c r="E10" s="106"/>
      <c r="F10" s="107"/>
      <c r="G10" s="24">
        <f>(G5-G6)*(1+'Fane 14. Nøgletal'!C10)</f>
        <v>17286111.409979917</v>
      </c>
      <c r="H10" s="14" t="s">
        <v>3</v>
      </c>
      <c r="I10" s="1"/>
    </row>
    <row r="11" spans="1:9" x14ac:dyDescent="0.45">
      <c r="A11" s="1"/>
      <c r="B11" s="105" t="s">
        <v>147</v>
      </c>
      <c r="C11" s="106"/>
      <c r="D11" s="106"/>
      <c r="E11" s="106"/>
      <c r="F11" s="107"/>
      <c r="G11" s="24">
        <v>80137.268277740572</v>
      </c>
      <c r="H11" s="14" t="s">
        <v>3</v>
      </c>
      <c r="I11" s="1"/>
    </row>
    <row r="12" spans="1:9" x14ac:dyDescent="0.45">
      <c r="A12" s="1"/>
      <c r="B12" s="111" t="s">
        <v>68</v>
      </c>
      <c r="C12" s="112"/>
      <c r="D12" s="112"/>
      <c r="E12" s="112"/>
      <c r="F12" s="113"/>
      <c r="G12" s="69">
        <v>0</v>
      </c>
      <c r="H12" s="14" t="s">
        <v>3</v>
      </c>
      <c r="I12" s="1"/>
    </row>
    <row r="13" spans="1:9" x14ac:dyDescent="0.45">
      <c r="A13" s="1"/>
      <c r="B13" s="105" t="s">
        <v>69</v>
      </c>
      <c r="C13" s="106"/>
      <c r="D13" s="106"/>
      <c r="E13" s="106"/>
      <c r="F13" s="107"/>
      <c r="G13" s="24">
        <f>SUM(G10:G12)*'Fane 14. Nøgletal'!C20</f>
        <v>307382.60160516057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00" t="s">
        <v>70</v>
      </c>
      <c r="C16" s="101"/>
      <c r="D16" s="101"/>
      <c r="E16" s="101"/>
      <c r="F16" s="101"/>
      <c r="G16" s="101"/>
      <c r="H16" s="102"/>
      <c r="I16" s="1"/>
    </row>
    <row r="17" spans="1:9" x14ac:dyDescent="0.45">
      <c r="A17" s="1"/>
      <c r="B17" s="105" t="s">
        <v>71</v>
      </c>
      <c r="C17" s="106"/>
      <c r="D17" s="106"/>
      <c r="E17" s="106"/>
      <c r="F17" s="107"/>
      <c r="G17" s="24">
        <f>(SUM(G10:G12)-G13)*(1+'Fane 14. Nøgletal'!C10)</f>
        <v>17357396.232993916</v>
      </c>
      <c r="H17" s="14" t="s">
        <v>3</v>
      </c>
      <c r="I17" s="1"/>
    </row>
    <row r="18" spans="1:9" x14ac:dyDescent="0.45">
      <c r="A18" s="1"/>
      <c r="B18" s="111" t="s">
        <v>72</v>
      </c>
      <c r="C18" s="112"/>
      <c r="D18" s="112"/>
      <c r="E18" s="112"/>
      <c r="F18" s="113"/>
      <c r="G18" s="24">
        <v>345587.27451955993</v>
      </c>
      <c r="H18" s="14" t="s">
        <v>3</v>
      </c>
      <c r="I18" s="1"/>
    </row>
    <row r="19" spans="1:9" x14ac:dyDescent="0.45">
      <c r="A19" s="1"/>
      <c r="B19" s="105" t="s">
        <v>73</v>
      </c>
      <c r="C19" s="106"/>
      <c r="D19" s="106"/>
      <c r="E19" s="106"/>
      <c r="F19" s="107"/>
      <c r="G19" s="24">
        <f>G17*'Fane 14. Nøgletal'!C20+G18*'Fane 14. Nøgletal'!C21</f>
        <v>310232.52261231252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00" t="s">
        <v>74</v>
      </c>
      <c r="C22" s="101"/>
      <c r="D22" s="101"/>
      <c r="E22" s="101"/>
      <c r="F22" s="101"/>
      <c r="G22" s="101"/>
      <c r="H22" s="102"/>
      <c r="I22" s="1"/>
    </row>
    <row r="23" spans="1:9" x14ac:dyDescent="0.45">
      <c r="A23" s="1"/>
      <c r="B23" s="105" t="s">
        <v>75</v>
      </c>
      <c r="C23" s="106"/>
      <c r="D23" s="106"/>
      <c r="E23" s="106"/>
      <c r="F23" s="107"/>
      <c r="G23" s="24">
        <f>(G17+G18-G19)*(1+'Fane 14. Nøgletal'!C12)</f>
        <v>17735388.179303717</v>
      </c>
      <c r="H23" s="14" t="s">
        <v>3</v>
      </c>
      <c r="I23" s="1"/>
    </row>
    <row r="24" spans="1:9" x14ac:dyDescent="0.45">
      <c r="A24" s="1"/>
      <c r="B24" s="111" t="s">
        <v>76</v>
      </c>
      <c r="C24" s="112"/>
      <c r="D24" s="112"/>
      <c r="E24" s="112"/>
      <c r="F24" s="113"/>
      <c r="G24" s="24">
        <v>104339.0886412644</v>
      </c>
      <c r="H24" s="14" t="s">
        <v>3</v>
      </c>
      <c r="I24" s="1"/>
    </row>
    <row r="25" spans="1:9" x14ac:dyDescent="0.45">
      <c r="A25" s="1"/>
      <c r="B25" s="105" t="s">
        <v>77</v>
      </c>
      <c r="C25" s="106"/>
      <c r="D25" s="106"/>
      <c r="E25" s="106"/>
      <c r="F25" s="107"/>
      <c r="G25" s="24">
        <f>(G23+G24)*'Fane 14. Nøgletal'!C22</f>
        <v>506648.25440963748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00" t="s">
        <v>78</v>
      </c>
      <c r="C28" s="101"/>
      <c r="D28" s="101"/>
      <c r="E28" s="101"/>
      <c r="F28" s="101"/>
      <c r="G28" s="101"/>
      <c r="H28" s="102"/>
      <c r="I28" s="1"/>
    </row>
    <row r="29" spans="1:9" x14ac:dyDescent="0.45">
      <c r="A29" s="1"/>
      <c r="B29" s="105" t="s">
        <v>79</v>
      </c>
      <c r="C29" s="106"/>
      <c r="D29" s="106"/>
      <c r="E29" s="106"/>
      <c r="F29" s="107"/>
      <c r="G29" s="24">
        <f>(G23+G24-G25)*(1+'Fane 14. Nøgletal'!C12)</f>
        <v>17674540.670101989</v>
      </c>
      <c r="H29" s="14" t="s">
        <v>3</v>
      </c>
      <c r="I29" s="1"/>
    </row>
    <row r="30" spans="1:9" x14ac:dyDescent="0.45">
      <c r="A30" s="1"/>
      <c r="B30" s="105" t="s">
        <v>176</v>
      </c>
      <c r="C30" s="106"/>
      <c r="D30" s="106"/>
      <c r="E30" s="106"/>
      <c r="F30" s="107"/>
      <c r="G30" s="24">
        <v>279097.34950439999</v>
      </c>
      <c r="H30" s="14" t="s">
        <v>3</v>
      </c>
      <c r="I30" s="1"/>
    </row>
    <row r="31" spans="1:9" x14ac:dyDescent="0.45">
      <c r="A31" s="1"/>
      <c r="B31" s="105" t="s">
        <v>80</v>
      </c>
      <c r="C31" s="106"/>
      <c r="D31" s="106"/>
      <c r="E31" s="106"/>
      <c r="F31" s="107"/>
      <c r="G31" s="24">
        <f>G29*'Fane 14. Nøgletal'!C22+G30*'Fane 14. Nøgletal'!C23</f>
        <v>509632.13214226754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00" t="s">
        <v>238</v>
      </c>
      <c r="C34" s="101"/>
      <c r="D34" s="101"/>
      <c r="E34" s="101"/>
      <c r="F34" s="101"/>
      <c r="G34" s="101"/>
      <c r="H34" s="102"/>
      <c r="I34" s="1"/>
    </row>
    <row r="35" spans="1:9" x14ac:dyDescent="0.45">
      <c r="A35" s="1"/>
      <c r="B35" s="105" t="s">
        <v>82</v>
      </c>
      <c r="C35" s="106"/>
      <c r="D35" s="106"/>
      <c r="E35" s="106"/>
      <c r="F35" s="107"/>
      <c r="G35" s="24">
        <f>(G29+G30-G31)*(1+'Fane 14. Nøgletal'!C14)</f>
        <v>17501571.106892753</v>
      </c>
      <c r="H35" s="14" t="s">
        <v>3</v>
      </c>
      <c r="I35" s="1"/>
    </row>
    <row r="36" spans="1:9" x14ac:dyDescent="0.45">
      <c r="A36" s="1"/>
      <c r="B36" s="105" t="s">
        <v>240</v>
      </c>
      <c r="C36" s="106"/>
      <c r="D36" s="106"/>
      <c r="E36" s="106"/>
      <c r="F36" s="107"/>
      <c r="G36" s="24">
        <f>SUM('Fane 2.1. Økonomisk ramme 2022'!C11,'Fane 2.1. Økonomisk ramme 2022'!C13,'Fane 2.1. Økonomisk ramme 2022'!C15)*(1+'Fane 14. Nøgletal'!C14)</f>
        <v>171435.90067590002</v>
      </c>
      <c r="H36" s="14" t="s">
        <v>3</v>
      </c>
      <c r="I36" s="1"/>
    </row>
    <row r="37" spans="1:9" x14ac:dyDescent="0.45">
      <c r="A37" s="1"/>
      <c r="B37" s="105" t="s">
        <v>239</v>
      </c>
      <c r="C37" s="106"/>
      <c r="D37" s="106"/>
      <c r="E37" s="106"/>
      <c r="F37" s="107"/>
      <c r="G37" s="24">
        <f>(G35+G36)*'Fane 14. Nøgletal'!C24</f>
        <v>261560.5037120161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00" t="s">
        <v>85</v>
      </c>
      <c r="C40" s="101"/>
      <c r="D40" s="101"/>
      <c r="E40" s="101"/>
      <c r="F40" s="101"/>
      <c r="G40" s="101"/>
      <c r="H40" s="102"/>
      <c r="I40" s="1"/>
    </row>
    <row r="41" spans="1:9" x14ac:dyDescent="0.45">
      <c r="A41" s="1"/>
      <c r="B41" s="105" t="s">
        <v>81</v>
      </c>
      <c r="C41" s="106"/>
      <c r="D41" s="106"/>
      <c r="E41" s="106"/>
      <c r="F41" s="107"/>
      <c r="G41" s="24">
        <f>(G35+G36-G37)*(1+'Fane 14. Nøgletal'!C14)</f>
        <v>17468904.277319364</v>
      </c>
      <c r="H41" s="14" t="s">
        <v>3</v>
      </c>
      <c r="I41" s="1"/>
    </row>
    <row r="42" spans="1:9" x14ac:dyDescent="0.45">
      <c r="A42" s="1"/>
      <c r="B42" s="47" t="s">
        <v>242</v>
      </c>
      <c r="C42" s="60"/>
      <c r="D42" s="60"/>
      <c r="E42" s="60"/>
      <c r="F42" s="61"/>
      <c r="G42" s="24">
        <f>G36*(1+'Fane 14. Nøgletal'!C14)</f>
        <v>172001.63914813049</v>
      </c>
      <c r="H42" s="14" t="s">
        <v>3</v>
      </c>
      <c r="I42" s="1"/>
    </row>
    <row r="43" spans="1:9" x14ac:dyDescent="0.45">
      <c r="A43" s="1"/>
      <c r="B43" s="105" t="s">
        <v>101</v>
      </c>
      <c r="C43" s="106"/>
      <c r="D43" s="106"/>
      <c r="E43" s="106"/>
      <c r="F43" s="107"/>
      <c r="G43" s="69">
        <v>0</v>
      </c>
      <c r="H43" s="14" t="s">
        <v>3</v>
      </c>
      <c r="I43" s="1"/>
    </row>
    <row r="44" spans="1:9" x14ac:dyDescent="0.45">
      <c r="A44" s="1"/>
      <c r="B44" s="105" t="s">
        <v>241</v>
      </c>
      <c r="C44" s="106"/>
      <c r="D44" s="106"/>
      <c r="E44" s="106"/>
      <c r="F44" s="107"/>
      <c r="G44" s="24">
        <f>(G41+G43)*'Fane 14. Nøgletal'!C24</f>
        <v>258539.78330432661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00" t="s">
        <v>181</v>
      </c>
      <c r="C52" s="101"/>
      <c r="D52" s="101"/>
      <c r="E52" s="101"/>
      <c r="F52" s="101"/>
      <c r="G52" s="101"/>
      <c r="H52" s="102"/>
      <c r="I52" s="1"/>
    </row>
    <row r="53" spans="1:9" x14ac:dyDescent="0.45">
      <c r="A53" s="1"/>
      <c r="B53" s="105" t="s">
        <v>182</v>
      </c>
      <c r="C53" s="106"/>
      <c r="D53" s="106"/>
      <c r="E53" s="106"/>
      <c r="F53" s="107"/>
      <c r="G53" s="24">
        <f>(G41+G43-G44)*(1+'Fane 14. Nøgletal'!C14)</f>
        <v>17267158.696845289</v>
      </c>
      <c r="H53" s="14" t="s">
        <v>3</v>
      </c>
      <c r="I53" s="1"/>
    </row>
    <row r="54" spans="1:9" x14ac:dyDescent="0.45">
      <c r="A54" s="1"/>
      <c r="B54" s="105" t="s">
        <v>183</v>
      </c>
      <c r="C54" s="106"/>
      <c r="D54" s="106"/>
      <c r="E54" s="106"/>
      <c r="F54" s="107"/>
      <c r="G54" s="69">
        <v>0</v>
      </c>
      <c r="H54" s="14" t="s">
        <v>3</v>
      </c>
      <c r="I54" s="1"/>
    </row>
    <row r="55" spans="1:9" x14ac:dyDescent="0.45">
      <c r="A55" s="1"/>
      <c r="B55" s="105" t="s">
        <v>184</v>
      </c>
      <c r="C55" s="106"/>
      <c r="D55" s="106"/>
      <c r="E55" s="106"/>
      <c r="F55" s="107"/>
      <c r="G55" s="24">
        <f>(G53+G54)*'Fane 14. Nøgletal'!C24</f>
        <v>255553.9487133103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100" t="s">
        <v>205</v>
      </c>
      <c r="C58" s="101"/>
      <c r="D58" s="101"/>
      <c r="E58" s="101"/>
      <c r="F58" s="101"/>
      <c r="G58" s="101"/>
      <c r="H58" s="102"/>
      <c r="I58" s="1"/>
    </row>
    <row r="59" spans="1:9" x14ac:dyDescent="0.45">
      <c r="A59" s="1"/>
      <c r="B59" s="105" t="s">
        <v>255</v>
      </c>
      <c r="C59" s="106"/>
      <c r="D59" s="106"/>
      <c r="E59" s="106"/>
      <c r="F59" s="107"/>
      <c r="G59" s="24">
        <f>(G53+G54-G55)*(1+'Fane 14. Nøgletal'!C14)</f>
        <v>17067743.043800816</v>
      </c>
      <c r="H59" s="14" t="s">
        <v>3</v>
      </c>
      <c r="I59" s="1"/>
    </row>
    <row r="60" spans="1:9" x14ac:dyDescent="0.45">
      <c r="A60" s="1"/>
      <c r="B60" s="105" t="s">
        <v>256</v>
      </c>
      <c r="C60" s="106"/>
      <c r="D60" s="106"/>
      <c r="E60" s="106"/>
      <c r="F60" s="107"/>
      <c r="G60" s="69">
        <v>0</v>
      </c>
      <c r="H60" s="14" t="s">
        <v>3</v>
      </c>
      <c r="I60" s="1"/>
    </row>
    <row r="61" spans="1:9" x14ac:dyDescent="0.45">
      <c r="A61" s="1"/>
      <c r="B61" s="105" t="s">
        <v>257</v>
      </c>
      <c r="C61" s="106"/>
      <c r="D61" s="106"/>
      <c r="E61" s="106"/>
      <c r="F61" s="107"/>
      <c r="G61" s="24">
        <f>(G59+G60)*'Fane 14. Nøgletal'!C24</f>
        <v>252602.59704825209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6Ketk/TKK+2KrqRZ6bp1xZISHMF/xgSiOk+Igkq3O6BMbfZ9AZItuvDZi57pij83An5b7UIKHRK+pgV2l7XP0A==" saltValue="MaADjH3CxduZyVP8hWfrzw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33203125" style="2" customWidth="1"/>
    <col min="8" max="8" width="3.332031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8" t="s">
        <v>96</v>
      </c>
      <c r="C3" s="88"/>
      <c r="D3" s="88"/>
      <c r="E3" s="88"/>
      <c r="F3" s="88"/>
      <c r="G3" s="88"/>
      <c r="H3" s="88"/>
      <c r="I3" s="1"/>
    </row>
    <row r="4" spans="1:9" ht="15" customHeight="1" x14ac:dyDescent="0.4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0" t="s">
        <v>10</v>
      </c>
      <c r="C8" s="101"/>
      <c r="D8" s="101"/>
      <c r="E8" s="101"/>
      <c r="F8" s="101"/>
      <c r="G8" s="101"/>
      <c r="H8" s="102"/>
      <c r="I8" s="1"/>
    </row>
    <row r="9" spans="1:9" x14ac:dyDescent="0.45">
      <c r="A9" s="1"/>
      <c r="B9" s="105" t="s">
        <v>243</v>
      </c>
      <c r="C9" s="106"/>
      <c r="D9" s="106"/>
      <c r="E9" s="106"/>
      <c r="F9" s="107"/>
      <c r="G9" s="23">
        <v>0.02</v>
      </c>
      <c r="H9" s="14"/>
      <c r="I9" s="1"/>
    </row>
    <row r="10" spans="1:9" x14ac:dyDescent="0.45">
      <c r="A10" s="1"/>
      <c r="B10" s="105" t="s">
        <v>86</v>
      </c>
      <c r="C10" s="106"/>
      <c r="D10" s="106"/>
      <c r="E10" s="106"/>
      <c r="F10" s="107"/>
      <c r="G10" s="23">
        <v>0.02</v>
      </c>
      <c r="H10" s="14"/>
      <c r="I10" s="1"/>
    </row>
    <row r="11" spans="1:9" x14ac:dyDescent="0.45">
      <c r="A11" s="1"/>
      <c r="B11" s="105" t="s">
        <v>87</v>
      </c>
      <c r="C11" s="106"/>
      <c r="D11" s="106"/>
      <c r="E11" s="106"/>
      <c r="F11" s="107"/>
      <c r="G11" s="41">
        <v>9.4636804397460819E-3</v>
      </c>
      <c r="H11" s="14"/>
      <c r="I11" s="1"/>
    </row>
    <row r="12" spans="1:9" x14ac:dyDescent="0.45">
      <c r="A12" s="1"/>
      <c r="B12" s="105" t="s">
        <v>206</v>
      </c>
      <c r="C12" s="106"/>
      <c r="D12" s="106"/>
      <c r="E12" s="106"/>
      <c r="F12" s="107"/>
      <c r="G12" s="41">
        <v>0.02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6" t="s">
        <v>207</v>
      </c>
      <c r="C14" s="116"/>
      <c r="D14" s="116"/>
      <c r="E14" s="116"/>
      <c r="F14" s="116"/>
      <c r="G14" s="116"/>
      <c r="H14" s="116"/>
      <c r="I14" s="1"/>
    </row>
    <row r="15" spans="1:9" ht="14.25" customHeight="1" x14ac:dyDescent="0.45">
      <c r="A15" s="18"/>
      <c r="B15" s="116"/>
      <c r="C15" s="116"/>
      <c r="D15" s="116"/>
      <c r="E15" s="116"/>
      <c r="F15" s="116"/>
      <c r="G15" s="116"/>
      <c r="H15" s="116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OTTaLLfq8Fm/V6aB4wb8cZYgzkQMjKoFc/Z35lWU8P7QwZPwmj5Af3CeCeU1Qc/9dBZA3SI3Ee4Oymz1JUrw1A==" saltValue="TRKCFQppT2IuYSRSQxevew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2021-09-09T22:31:14Z</dcterms:modified>
</cp:coreProperties>
</file>