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alborg Vand AS (V218)\ØR2022\"/>
    </mc:Choice>
  </mc:AlternateContent>
  <bookViews>
    <workbookView xWindow="3105" yWindow="990" windowWidth="646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calcPr calcId="162913"/>
</workbook>
</file>

<file path=xl/calcChain.xml><?xml version="1.0" encoding="utf-8"?>
<calcChain xmlns="http://schemas.openxmlformats.org/spreadsheetml/2006/main">
  <c r="C35" i="2" l="1"/>
  <c r="C32" i="2"/>
  <c r="E26" i="32" l="1"/>
  <c r="E35" i="32" l="1"/>
  <c r="E37" i="32" s="1"/>
  <c r="C15" i="19"/>
  <c r="C23" i="22" l="1"/>
  <c r="C24" i="15"/>
  <c r="C23" i="23"/>
  <c r="G32" i="36"/>
  <c r="G31" i="36" l="1"/>
  <c r="G38" i="36" s="1"/>
  <c r="G7" i="36"/>
  <c r="G11" i="36" s="1"/>
  <c r="G13" i="36" s="1"/>
  <c r="G7" i="30"/>
  <c r="G11" i="30" s="1"/>
  <c r="G17" i="36" l="1"/>
  <c r="G20" i="36" s="1"/>
  <c r="G13" i="30"/>
  <c r="G17" i="30" s="1"/>
  <c r="G24" i="36" l="1"/>
  <c r="G20" i="30"/>
  <c r="G30" i="36" l="1"/>
  <c r="G37" i="36" s="1"/>
  <c r="G26" i="36"/>
  <c r="G24" i="30"/>
  <c r="G26" i="30" s="1"/>
  <c r="C13" i="2" l="1"/>
  <c r="C12" i="2"/>
  <c r="C11" i="2"/>
  <c r="C10" i="2"/>
  <c r="G31" i="30" l="1"/>
  <c r="G38" i="30" s="1"/>
  <c r="E11" i="11" l="1"/>
  <c r="E10" i="11"/>
  <c r="E29" i="21" l="1"/>
  <c r="E30" i="21" s="1"/>
  <c r="G59" i="36" s="1"/>
  <c r="C29" i="21"/>
  <c r="C30" i="21" s="1"/>
  <c r="G60" i="30" s="1"/>
  <c r="E23" i="21"/>
  <c r="E24" i="21" s="1"/>
  <c r="G53" i="36" s="1"/>
  <c r="C23" i="21"/>
  <c r="C24" i="21" s="1"/>
  <c r="G54" i="30" s="1"/>
  <c r="E17" i="21"/>
  <c r="E18" i="21" s="1"/>
  <c r="G46" i="36" s="1"/>
  <c r="C17" i="21"/>
  <c r="C18" i="21" s="1"/>
  <c r="G46" i="30" s="1"/>
  <c r="C10" i="15" l="1"/>
  <c r="C11" i="15"/>
  <c r="C9" i="22"/>
  <c r="C10" i="22"/>
  <c r="C10" i="23"/>
  <c r="C9" i="23"/>
  <c r="E35" i="39"/>
  <c r="E37" i="39" s="1"/>
  <c r="C35" i="39"/>
  <c r="E27" i="39"/>
  <c r="E29" i="39" s="1"/>
  <c r="C27" i="39"/>
  <c r="E19" i="39"/>
  <c r="E21" i="39" s="1"/>
  <c r="C19" i="39"/>
  <c r="E11" i="39"/>
  <c r="E13" i="39" s="1"/>
  <c r="C11" i="39"/>
  <c r="C13" i="39" s="1"/>
  <c r="C12" i="39" l="1"/>
  <c r="C14" i="39" s="1"/>
  <c r="C29" i="39"/>
  <c r="C28" i="39"/>
  <c r="E12" i="39"/>
  <c r="E14" i="39" s="1"/>
  <c r="E28" i="39"/>
  <c r="E30" i="39" s="1"/>
  <c r="C21" i="39"/>
  <c r="C20" i="39"/>
  <c r="C37" i="39"/>
  <c r="C36" i="39"/>
  <c r="E20" i="39"/>
  <c r="E22" i="39" s="1"/>
  <c r="E36" i="39"/>
  <c r="E38" i="39" s="1"/>
  <c r="C22" i="39" l="1"/>
  <c r="C30" i="39"/>
  <c r="C19" i="22" s="1"/>
  <c r="C38" i="39"/>
  <c r="C19" i="23" s="1"/>
  <c r="C29" i="2"/>
  <c r="C20" i="15"/>
  <c r="C21" i="15"/>
  <c r="C20" i="23"/>
  <c r="C20" i="22"/>
  <c r="C28" i="2"/>
  <c r="C21" i="23" l="1"/>
  <c r="C21" i="22"/>
  <c r="C22" i="15"/>
  <c r="C30" i="2"/>
  <c r="G30" i="30" l="1"/>
  <c r="G37" i="30" s="1"/>
  <c r="G33" i="30" l="1"/>
  <c r="F12" i="11" l="1"/>
  <c r="G12" i="11"/>
  <c r="C10" i="37" l="1"/>
  <c r="C14" i="37" s="1"/>
  <c r="C15" i="37" s="1"/>
  <c r="C14" i="2" s="1"/>
  <c r="E11" i="21"/>
  <c r="E12" i="21" s="1"/>
  <c r="C11" i="21"/>
  <c r="C12" i="21" s="1"/>
  <c r="E11" i="29"/>
  <c r="E12" i="29" s="1"/>
  <c r="C11" i="29"/>
  <c r="C12" i="29" s="1"/>
  <c r="C16" i="19"/>
  <c r="C17" i="22" s="1"/>
  <c r="C18" i="15" l="1"/>
  <c r="C17" i="23"/>
  <c r="C26" i="2"/>
  <c r="C18" i="2"/>
  <c r="C19" i="2"/>
  <c r="C17" i="2"/>
  <c r="C16" i="2"/>
  <c r="G40" i="30" l="1"/>
  <c r="G41" i="30" s="1"/>
  <c r="G39" i="30" l="1"/>
  <c r="E12" i="11"/>
  <c r="E10" i="37" s="1"/>
  <c r="E14" i="37" s="1"/>
  <c r="E15" i="37" l="1"/>
  <c r="C15" i="2" s="1"/>
  <c r="G40" i="36" s="1"/>
  <c r="G45" i="30"/>
  <c r="G33" i="36" l="1"/>
  <c r="E22" i="27" s="1"/>
  <c r="E33" i="27" s="1"/>
  <c r="G39" i="36"/>
  <c r="G41" i="36" s="1"/>
  <c r="G45" i="36" s="1"/>
  <c r="C22" i="2"/>
  <c r="G47" i="30"/>
  <c r="C9" i="2" l="1"/>
  <c r="C14" i="15"/>
  <c r="G53" i="30"/>
  <c r="G55" i="30" s="1"/>
  <c r="G47" i="36" l="1"/>
  <c r="G52" i="36" s="1"/>
  <c r="C23" i="2"/>
  <c r="C13" i="22"/>
  <c r="G59" i="30"/>
  <c r="G61" i="30" s="1"/>
  <c r="C13" i="23" s="1"/>
  <c r="G54" i="36" l="1"/>
  <c r="G58" i="36" s="1"/>
  <c r="C15" i="15"/>
  <c r="C20" i="2"/>
  <c r="C21" i="2" s="1"/>
  <c r="C24" i="2" s="1"/>
  <c r="G60" i="36" l="1"/>
  <c r="C14" i="23" s="1"/>
  <c r="C14" i="22"/>
  <c r="C9" i="15"/>
  <c r="C12" i="15" s="1"/>
  <c r="C13" i="15" l="1"/>
  <c r="C16" i="15" s="1"/>
  <c r="C8" i="22" l="1"/>
  <c r="C11" i="22" s="1"/>
  <c r="C12" i="22" s="1"/>
  <c r="C27" i="15"/>
  <c r="C15" i="22" l="1"/>
  <c r="C26" i="22" s="1"/>
  <c r="C8" i="23" l="1"/>
  <c r="C11" i="23" s="1"/>
  <c r="C12" i="23" l="1"/>
  <c r="C15" i="23" s="1"/>
  <c r="C26" i="23" s="1"/>
</calcChain>
</file>

<file path=xl/sharedStrings.xml><?xml version="1.0" encoding="utf-8"?>
<sst xmlns="http://schemas.openxmlformats.org/spreadsheetml/2006/main" count="645" uniqueCount="264">
  <si>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</si>
  <si>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</si>
  <si>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</si>
  <si>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</si>
  <si>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</si>
  <si>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</si>
  <si>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</si>
  <si>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</si>
  <si>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</si>
  <si>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</si>
  <si>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</si>
  <si>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</si>
  <si>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</si>
  <si>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</si>
  <si>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</si>
  <si>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</si>
  <si>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</si>
  <si>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</si>
  <si>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</si>
  <si>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</si>
  <si>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</si>
  <si>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</si>
  <si>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</si>
  <si>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</si>
  <si>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</si>
  <si>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</si>
  <si>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</si>
  <si>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</si>
  <si>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</si>
  <si>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</si>
  <si>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</si>
  <si>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</si>
  <si>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</si>
  <si>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</si>
  <si>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</si>
  <si>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</si>
  <si>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</si>
  <si>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</si>
  <si>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</si>
  <si>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</si>
  <si>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</si>
  <si>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</si>
  <si>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</si>
  <si>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</si>
  <si>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</si>
  <si>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</si>
  <si>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</si>
  <si>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</si>
  <si>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</si>
  <si>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</si>
  <si>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</si>
  <si>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</si>
  <si>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</si>
  <si>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</si>
  <si>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</si>
  <si>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</si>
  <si>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</si>
  <si>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</si>
  <si>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</si>
  <si>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</si>
  <si>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</si>
  <si>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</si>
  <si>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</si>
  <si>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</si>
  <si>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</si>
  <si>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</si>
  <si>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</si>
  <si>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</si>
  <si>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</si>
  <si>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</si>
  <si>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</si>
  <si>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</si>
  <si>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</si>
  <si>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</si>
  <si>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</si>
  <si>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</si>
  <si>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</si>
  <si>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</si>
  <si>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</si>
  <si>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</si>
  <si>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</si>
  <si>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</si>
  <si>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</si>
  <si>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</si>
  <si>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</si>
  <si>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</si>
  <si>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</si>
  <si>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</si>
  <si>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</si>
  <si>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</si>
  <si>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</si>
  <si>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</si>
  <si>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</si>
  <si>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</si>
  <si>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</si>
  <si>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</si>
  <si>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</si>
  <si>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</si>
  <si>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</si>
  <si>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</si>
  <si>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</si>
  <si>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</si>
  <si>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</si>
  <si>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</si>
  <si>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</si>
  <si>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</si>
  <si>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</si>
  <si>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</si>
  <si>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2017-2018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</si>
  <si>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</si>
  <si>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</si>
  <si>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</si>
  <si>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</si>
  <si>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</si>
  <si>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Til indregning i de økonomiske rammer for 2023-2026</t>
  </si>
  <si>
    <t>Individuelt effektiviseringskrav til de økonomiske rammer for 2019-2022</t>
  </si>
  <si>
    <t>Generelt effektiviseringskrav til anlægsomkostninger i de økonomiske rammer for 2022</t>
  </si>
  <si>
    <t>Generelt effektiviseringskrav til driftsomkostninger i de økonomiske rammer for 2022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</si>
  <si>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</si>
  <si>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</si>
  <si>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</si>
  <si>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4.1</t>
  </si>
  <si>
    <t>Fane 4.2</t>
  </si>
  <si>
    <t>Fane 6</t>
  </si>
  <si>
    <t>Fane 11</t>
  </si>
  <si>
    <t>Prisudvikling til brug for ØR2017-2018</t>
  </si>
  <si>
    <t>Prisudvikling til brug for ØR2019-2022</t>
  </si>
  <si>
    <t>Generelt effektiviseringskrav til brug for anlægsomkostninger i ØR2017-2018</t>
  </si>
  <si>
    <t>Generelt effektiviseringskrav til brug for nye anlægsomkostninger i ØR2018</t>
  </si>
  <si>
    <t>Generelt effektiviseringskrav til brug for nye anlægsomkostninger i ØR2020</t>
  </si>
  <si>
    <t>Generelt effektiviseringskrav til brug for anlægsomkostninger i ØR2019-2022</t>
  </si>
  <si>
    <t>Generelt effektiviseringskrav til brug for driftsomkostninger</t>
  </si>
  <si>
    <t>- Heraf nye driftsomkostninger til de økonomiske rammer for 2020</t>
  </si>
  <si>
    <t>Generelt effektiviseringskrav til driftsomkostningerne i ØR22</t>
  </si>
  <si>
    <t>- Heraf nye anlægsomkostninger til de økonomiske rammer for 2020</t>
  </si>
  <si>
    <t>Fane 3</t>
  </si>
  <si>
    <t>Korrektion af driftsomkostninger i grundlaget</t>
  </si>
  <si>
    <t>Korrektion af anlægsomkostninger i grundlaget</t>
  </si>
  <si>
    <t>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</si>
  <si>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</si>
  <si>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</si>
  <si>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</si>
  <si>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2024</t>
  </si>
  <si>
    <t>Økonomisk ramme for 2024</t>
  </si>
  <si>
    <t>Engangstillæg til de økonomiske rammer for 2024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</si>
  <si>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</si>
  <si>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</si>
  <si>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</si>
  <si>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</si>
  <si>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</si>
  <si>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</si>
  <si>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Vejledende økonomisk ramme for 2024</t>
  </si>
  <si>
    <t>- Heraf nye omkostninger i ØR20 - Drift</t>
  </si>
  <si>
    <t>- Heraf nye omkostninger i ØR20 - Anlæg</t>
  </si>
  <si>
    <t>Generelt effektiviseringskrav til brug for nye anlægsomkostninger i ØR2021</t>
  </si>
  <si>
    <t>Engangstillæg i alt i 2022-prisniveau</t>
  </si>
  <si>
    <t>Engangstillæg i alt i 2023-prisniveau</t>
  </si>
  <si>
    <t>Engangstillæg i alt i 2024-prisniveau</t>
  </si>
  <si>
    <t>Nye tillæg i alt i 2020-prisniveau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</si>
  <si>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</si>
  <si>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</si>
  <si>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</si>
  <si>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</si>
  <si>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</si>
  <si>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</si>
  <si>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- Heraf nye driftsomkostninger til de økonomiske rammer for 2021</t>
  </si>
  <si>
    <t>- Heraf 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</si>
  <si>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</si>
  <si>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</si>
  <si>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</si>
  <si>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</si>
  <si>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</si>
  <si>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</si>
  <si>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</si>
  <si>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anlægsomkostningerne i ØR22</t>
  </si>
  <si>
    <t>Kontrol med overholdelse af økonomiske rammer</t>
  </si>
  <si>
    <t>Kontrol med overholdelse af den økonomiske ramme</t>
  </si>
  <si>
    <t>Samlet økonomisk ramme for 2022</t>
  </si>
  <si>
    <t>Fane 8: Anlægsprojekter igangsat senest den 1. marts 2016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</si>
  <si>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</si>
  <si>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</si>
  <si>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</si>
  <si>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</si>
  <si>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</si>
  <si>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9.1</t>
  </si>
  <si>
    <t>Fane 9.2</t>
  </si>
  <si>
    <t>Fane 10</t>
  </si>
  <si>
    <t xml:space="preserve">Note: Beregningerne af jeres individuelle effektiviseringskrav er taget fra jeres afgørelse til den økonomiske ramme for henholdsvis 2017-2018 og 2019-2022. I kan derfor ikke komme med høringssvar til denne opgørelse. </t>
  </si>
  <si>
    <t>Til statusmeddelelse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</si>
  <si>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</si>
  <si>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</si>
  <si>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</si>
  <si>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</si>
  <si>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- Heraf nye omkostninger i ØR21 - Drift</t>
  </si>
  <si>
    <t>- Heraf nye omkostninger i ØR21 - Anlæg</t>
  </si>
  <si>
    <t>Fane 2.2: Samlet økonomisk ramme for 2023</t>
  </si>
  <si>
    <t>Fane 2.3: Samlet økonomisk ramme for 2024</t>
  </si>
  <si>
    <t xml:space="preserve">Vejledende </t>
  </si>
  <si>
    <t>Videreførte omkostninger fra den økonomiske ramme for 2023</t>
  </si>
  <si>
    <t>Fane 2.4: Samlet økonomisk ramme for 2025</t>
  </si>
  <si>
    <t>Økonomisk ramme for 2025</t>
  </si>
  <si>
    <t>Fane 3: Videreførte omkostninger fra den økonomiske ramme for 2021</t>
  </si>
  <si>
    <t>Oversigt over den økonomiske ramme for 2021</t>
  </si>
  <si>
    <t xml:space="preserve">Note: Denne opgørelse er taget fra jeres afgørelse for den økonomiske ramme for 2021. I kan derfor ikke komme med høringssvar til denne opgørelse. 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</si>
  <si>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</si>
  <si>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</si>
  <si>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</si>
  <si>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</si>
  <si>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</si>
  <si>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</si>
  <si>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</si>
  <si>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</si>
  <si>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</si>
  <si>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</si>
  <si>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</si>
  <si>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</si>
  <si>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</si>
  <si>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</si>
  <si>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</si>
  <si>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</si>
  <si>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</si>
  <si>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</si>
  <si>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</si>
  <si>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</si>
  <si>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</si>
  <si>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Fane 7: Kontrol med overholdelse af den økonomiske ramme for 2020</t>
  </si>
  <si>
    <t>Nye driftsomkostninger i de økonomiske rammer for 2022</t>
  </si>
  <si>
    <t>Nye anlægsomkostninger i de økonomiske rammer for 2022</t>
  </si>
  <si>
    <t xml:space="preserve">Indtægter fra tilbagebetalt skat eller sambeskatningsbidrag som følge af skattesagen </t>
  </si>
  <si>
    <t xml:space="preserve">Nedsættelse af økonomisk ramme som følge af skattesagen </t>
  </si>
  <si>
    <t>5351, Kildeplads Lundby Krat inkl. hovedledning</t>
  </si>
  <si>
    <t>5352, Kildeplads Volsted Skov inkl. hovedledning</t>
  </si>
  <si>
    <t>Analysesystem og ny ISO-standard</t>
  </si>
  <si>
    <t>Udvidelser</t>
  </si>
  <si>
    <t>Ingen tilknyttet virksomhed</t>
  </si>
  <si>
    <t>Afgift for ledningsført vand</t>
  </si>
  <si>
    <t>Afgift til Forsyningssekretariatet</t>
  </si>
  <si>
    <t>Ejendomsskat</t>
  </si>
  <si>
    <t>Erstatninger</t>
  </si>
  <si>
    <t>Ingen bortfald eller nedsættelse</t>
  </si>
  <si>
    <t>Tidligere opgjorte over/underdækninger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</si>
  <si>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</si>
  <si>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</si>
  <si>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</si>
  <si>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</si>
  <si>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2023</t>
  </si>
  <si>
    <t>Indregnet fradrag i økonomisk ramme for 2024</t>
  </si>
  <si>
    <t>Indregnet fradrag i økonomisk ramme for 2025</t>
  </si>
  <si>
    <t>Indregnet fradrag i økonomisk ramme for 2026</t>
  </si>
  <si>
    <t>Kontrol med overholdelse af den økonomiske ramme for 2020</t>
  </si>
  <si>
    <t>Indtægtsramme i den økonomiske ramme for 2020</t>
  </si>
  <si>
    <t>Faktiske indtægter i 2020</t>
  </si>
  <si>
    <t>Kontrol med de økonomiske rammer til indregning</t>
  </si>
  <si>
    <t>Flytning af ledninger</t>
  </si>
  <si>
    <t>Ingen engangstillæg</t>
  </si>
  <si>
    <t>Korrektion af tidligere rammer</t>
  </si>
  <si>
    <t>Engangskorrektion vedrørende erstatninger</t>
  </si>
  <si>
    <t>Note: Opgørelsen af indregnede fradrag er taget fra jeres tidligere fremsendte økonomiske rammer og statusmeddelelser. I kan derfor ikke komme med høringssvar til denne opgørelse.</t>
  </si>
  <si>
    <t>Nedsættelse af økonomisk ramme som følge af skattesagen                        (beløbet tilbageføres over 1 år)</t>
  </si>
  <si>
    <t>Resultat af kontrol med overholdelse af den økonomiske ramme for 2020</t>
  </si>
  <si>
    <t>Bidrag til vandsamarbejder etableret i medfør af § 48 i vandforsyningsloven</t>
  </si>
  <si>
    <t>Til indregning i den økonomiske ramme for 2022</t>
  </si>
  <si>
    <t>Tillæg/fradrag i den økonomiske ramme for 2022</t>
  </si>
  <si>
    <t>Note: Opgørelsen af indregnede tillæg/fradrag er taget fra jeres tidligere fremsendte økonomiske rammer og statusmeddelelser. I kan derfor ikke komme med høringssvar til denne opgørelse.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</si>
</sst>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2" fillId="2" borderId="0" xfId="0" applyFont="1" applyFill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/>
    </xf>
    <xf numFmtId="0" fontId="0" fillId="0" borderId="0" xfId="0" applyAlignment="1" applyProtection="1">
      <alignment horizontal="left"/>
    </xf>
    <xf numFmtId="165" fontId="8" fillId="4" borderId="2" xfId="1" applyNumberFormat="1" applyFont="1" applyFill="1" applyBorder="1" applyAlignment="1" applyProtection="1">
      <alignment horizontal="right"/>
    </xf>
    <xf numFmtId="165" fontId="0" fillId="0" borderId="0" xfId="0" applyNumberFormat="1" applyProtection="1"/>
    <xf numFmtId="0" fontId="8" fillId="4" borderId="1" xfId="0" applyFont="1" applyFill="1" applyBorder="1" applyAlignment="1" applyProtection="1">
      <alignment horizontal="left" wrapText="1"/>
    </xf>
    <xf numFmtId="3" fontId="8" fillId="8" borderId="1" xfId="0" applyNumberFormat="1" applyFont="1" applyFill="1" applyBorder="1" applyAlignment="1" applyProtection="1">
      <alignment horizontal="right"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9" fontId="8" fillId="8" borderId="1" xfId="0" applyNumberFormat="1" applyFont="1" applyFill="1" applyBorder="1" applyProtection="1"/>
    <xf numFmtId="1" fontId="8" fillId="8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2" t="s">
        <v>4</v>
      </c>
      <c r="E6" s="82"/>
      <c r="F6" s="82"/>
      <c r="G6" s="82"/>
      <c r="H6" s="3"/>
      <c r="I6" s="1"/>
    </row>
    <row r="7" spans="1:9" ht="15" customHeight="1" x14ac:dyDescent="0.25">
      <c r="A7" s="1"/>
      <c r="B7" s="1"/>
      <c r="C7" s="3"/>
      <c r="D7" s="82"/>
      <c r="E7" s="82"/>
      <c r="F7" s="82"/>
      <c r="G7" s="82"/>
      <c r="H7" s="3"/>
      <c r="I7" s="1"/>
    </row>
    <row r="8" spans="1:9" ht="15.75" x14ac:dyDescent="0.25">
      <c r="A8" s="1"/>
      <c r="B8" s="1"/>
      <c r="C8" s="4"/>
      <c r="D8" s="84" t="s">
        <v>188</v>
      </c>
      <c r="E8" s="84"/>
      <c r="F8" s="84"/>
      <c r="G8" s="8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3" t="s">
        <v>5</v>
      </c>
      <c r="E11" s="83"/>
      <c r="F11" s="83"/>
      <c r="G11" s="8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9" t="s">
        <v>177</v>
      </c>
      <c r="E13" s="80"/>
      <c r="F13" s="80"/>
      <c r="G13" s="81"/>
      <c r="H13" s="1"/>
      <c r="I13" s="1"/>
    </row>
    <row r="14" spans="1:9" x14ac:dyDescent="0.25">
      <c r="A14" s="1"/>
      <c r="B14" s="1"/>
      <c r="C14" s="6" t="s">
        <v>15</v>
      </c>
      <c r="D14" s="79" t="s">
        <v>86</v>
      </c>
      <c r="E14" s="80"/>
      <c r="F14" s="80"/>
      <c r="G14" s="81"/>
      <c r="H14" s="1"/>
      <c r="I14" s="1"/>
    </row>
    <row r="15" spans="1:9" x14ac:dyDescent="0.25">
      <c r="A15" s="1"/>
      <c r="B15" s="1"/>
      <c r="C15" s="6" t="s">
        <v>35</v>
      </c>
      <c r="D15" s="79" t="s">
        <v>151</v>
      </c>
      <c r="E15" s="80"/>
      <c r="F15" s="80"/>
      <c r="G15" s="81"/>
      <c r="H15" s="1"/>
      <c r="I15" s="1"/>
    </row>
    <row r="16" spans="1:9" x14ac:dyDescent="0.25">
      <c r="A16" s="1"/>
      <c r="B16" s="1"/>
      <c r="C16" s="6" t="s">
        <v>36</v>
      </c>
      <c r="D16" s="79" t="s">
        <v>189</v>
      </c>
      <c r="E16" s="80"/>
      <c r="F16" s="80"/>
      <c r="G16" s="81"/>
      <c r="H16" s="1"/>
      <c r="I16" s="1"/>
    </row>
    <row r="17" spans="1:9" x14ac:dyDescent="0.25">
      <c r="A17" s="1"/>
      <c r="B17" s="1"/>
      <c r="C17" s="6" t="s">
        <v>135</v>
      </c>
      <c r="D17" s="79" t="s">
        <v>190</v>
      </c>
      <c r="E17" s="80"/>
      <c r="F17" s="80"/>
      <c r="G17" s="81"/>
      <c r="H17" s="1"/>
      <c r="I17" s="1"/>
    </row>
    <row r="18" spans="1:9" x14ac:dyDescent="0.25">
      <c r="A18" s="1"/>
      <c r="B18" s="1"/>
      <c r="C18" s="6" t="s">
        <v>121</v>
      </c>
      <c r="D18" s="85" t="s">
        <v>103</v>
      </c>
      <c r="E18" s="86"/>
      <c r="F18" s="86"/>
      <c r="G18" s="87"/>
      <c r="H18" s="1"/>
      <c r="I18" s="1"/>
    </row>
    <row r="19" spans="1:9" x14ac:dyDescent="0.25">
      <c r="A19" s="1"/>
      <c r="B19" s="1"/>
      <c r="C19" s="6" t="s">
        <v>122</v>
      </c>
      <c r="D19" s="85" t="s">
        <v>104</v>
      </c>
      <c r="E19" s="86"/>
      <c r="F19" s="86"/>
      <c r="G19" s="87"/>
      <c r="H19" s="1"/>
      <c r="I19" s="1"/>
    </row>
    <row r="20" spans="1:9" x14ac:dyDescent="0.25">
      <c r="A20" s="1"/>
      <c r="B20" s="1"/>
      <c r="C20" s="6" t="s">
        <v>7</v>
      </c>
      <c r="D20" s="85" t="s">
        <v>9</v>
      </c>
      <c r="E20" s="86"/>
      <c r="F20" s="86"/>
      <c r="G20" s="87"/>
      <c r="H20" s="1"/>
      <c r="I20" s="1"/>
    </row>
    <row r="21" spans="1:9" x14ac:dyDescent="0.25">
      <c r="A21" s="1"/>
      <c r="B21" s="1"/>
      <c r="C21" s="6" t="s">
        <v>123</v>
      </c>
      <c r="D21" s="76" t="s">
        <v>12</v>
      </c>
      <c r="E21" s="77"/>
      <c r="F21" s="77"/>
      <c r="G21" s="78"/>
      <c r="H21" s="1"/>
      <c r="I21" s="1"/>
    </row>
    <row r="22" spans="1:9" x14ac:dyDescent="0.25">
      <c r="A22" s="1"/>
      <c r="B22" s="1"/>
      <c r="C22" s="6" t="s">
        <v>90</v>
      </c>
      <c r="D22" s="70" t="s">
        <v>191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8</v>
      </c>
      <c r="D23" s="70" t="s">
        <v>37</v>
      </c>
      <c r="E23" s="71"/>
      <c r="F23" s="71"/>
      <c r="G23" s="72"/>
      <c r="H23" s="1"/>
      <c r="I23" s="1"/>
    </row>
    <row r="24" spans="1:9" x14ac:dyDescent="0.25">
      <c r="A24" s="1"/>
      <c r="B24" s="1"/>
      <c r="C24" s="6" t="s">
        <v>184</v>
      </c>
      <c r="D24" s="70" t="s">
        <v>91</v>
      </c>
      <c r="E24" s="71"/>
      <c r="F24" s="71"/>
      <c r="G24" s="72"/>
      <c r="H24" s="1"/>
      <c r="I24" s="1"/>
    </row>
    <row r="25" spans="1:9" x14ac:dyDescent="0.25">
      <c r="A25" s="1"/>
      <c r="B25" s="1"/>
      <c r="C25" s="6" t="s">
        <v>185</v>
      </c>
      <c r="D25" s="70" t="s">
        <v>92</v>
      </c>
      <c r="E25" s="71"/>
      <c r="F25" s="71"/>
      <c r="G25" s="72"/>
      <c r="H25" s="1"/>
      <c r="I25" s="1"/>
    </row>
    <row r="26" spans="1:9" x14ac:dyDescent="0.25">
      <c r="A26" s="1"/>
      <c r="B26" s="1"/>
      <c r="C26" s="6" t="s">
        <v>186</v>
      </c>
      <c r="D26" s="70" t="s">
        <v>138</v>
      </c>
      <c r="E26" s="71"/>
      <c r="F26" s="71"/>
      <c r="G26" s="72"/>
      <c r="H26" s="1"/>
      <c r="I26" s="1"/>
    </row>
    <row r="27" spans="1:9" x14ac:dyDescent="0.25">
      <c r="A27" s="1"/>
      <c r="B27" s="1"/>
      <c r="C27" s="6" t="s">
        <v>124</v>
      </c>
      <c r="D27" s="70" t="s">
        <v>38</v>
      </c>
      <c r="E27" s="71"/>
      <c r="F27" s="71"/>
      <c r="G27" s="72"/>
      <c r="H27" s="1"/>
      <c r="I27" s="1"/>
    </row>
    <row r="28" spans="1:9" x14ac:dyDescent="0.25">
      <c r="A28" s="1"/>
      <c r="B28" s="1"/>
      <c r="C28" s="6" t="s">
        <v>111</v>
      </c>
      <c r="D28" s="73" t="s">
        <v>112</v>
      </c>
      <c r="E28" s="74"/>
      <c r="F28" s="74"/>
      <c r="G28" s="7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om+32FInawDGlHi24wsEqP4+exNPuhqtKxDwGKNVhI/qmDIn+2e5vK+8ffCLRoeXg0xD1x5p8LXeyg4rqbTkA==" saltValue="zdTogsZ2PsWm3KePC9GXgA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20:G20" location="'Fane 5. Individuelt eff. krav'!A1" display="Individuelt effektiviseringskrav"/>
    <hyperlink ref="D19:G19" location="'Fane 4.2. Gen. krav - anlæg'!A1" display="Generelt effektiviseringskrav på anlæg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8" t="s">
        <v>120</v>
      </c>
      <c r="C3" s="88"/>
      <c r="D3" s="88"/>
      <c r="E3" s="1"/>
      <c r="F3" s="1"/>
    </row>
    <row r="4" spans="1:6" ht="15" customHeight="1" x14ac:dyDescent="0.25">
      <c r="A4" s="1"/>
      <c r="B4" s="88"/>
      <c r="C4" s="88"/>
      <c r="D4" s="8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9" t="s">
        <v>212</v>
      </c>
      <c r="C8" s="120"/>
      <c r="D8" s="121"/>
      <c r="E8" s="1"/>
      <c r="F8" s="1"/>
    </row>
    <row r="9" spans="1:6" ht="15" customHeight="1" x14ac:dyDescent="0.25">
      <c r="A9" s="1"/>
      <c r="B9" s="56" t="s">
        <v>33</v>
      </c>
      <c r="C9" s="11" t="s">
        <v>213</v>
      </c>
      <c r="D9" s="11"/>
      <c r="E9" s="1"/>
      <c r="F9" s="1"/>
    </row>
    <row r="10" spans="1:6" ht="15" customHeight="1" x14ac:dyDescent="0.25">
      <c r="A10" s="1"/>
      <c r="B10" s="65" t="s">
        <v>235</v>
      </c>
      <c r="C10" s="9">
        <v>42330706</v>
      </c>
      <c r="D10" s="14" t="s">
        <v>3</v>
      </c>
      <c r="E10" s="1"/>
      <c r="F10" s="1"/>
    </row>
    <row r="11" spans="1:6" x14ac:dyDescent="0.25">
      <c r="A11" s="1"/>
      <c r="B11" s="65" t="s">
        <v>236</v>
      </c>
      <c r="C11" s="9">
        <v>181392</v>
      </c>
      <c r="D11" s="14" t="s">
        <v>3</v>
      </c>
      <c r="E11" s="1"/>
      <c r="F11" s="1"/>
    </row>
    <row r="12" spans="1:6" x14ac:dyDescent="0.25">
      <c r="A12" s="1"/>
      <c r="B12" s="65" t="s">
        <v>237</v>
      </c>
      <c r="C12" s="9">
        <v>71096</v>
      </c>
      <c r="D12" s="14" t="s">
        <v>3</v>
      </c>
      <c r="E12" s="1"/>
      <c r="F12" s="1"/>
    </row>
    <row r="13" spans="1:6" x14ac:dyDescent="0.25">
      <c r="A13" s="1"/>
      <c r="B13" s="65" t="s">
        <v>238</v>
      </c>
      <c r="C13" s="9">
        <v>264036</v>
      </c>
      <c r="D13" s="14" t="s">
        <v>3</v>
      </c>
      <c r="E13" s="1"/>
      <c r="F13" s="1"/>
    </row>
    <row r="14" spans="1:6" ht="26.25" x14ac:dyDescent="0.25">
      <c r="A14" s="1"/>
      <c r="B14" s="54" t="s">
        <v>260</v>
      </c>
      <c r="C14" s="9">
        <v>9893584</v>
      </c>
      <c r="D14" s="14" t="s">
        <v>3</v>
      </c>
      <c r="E14" s="1"/>
      <c r="F14" s="1"/>
    </row>
    <row r="15" spans="1:6" x14ac:dyDescent="0.25">
      <c r="A15" s="1"/>
      <c r="B15" s="49" t="s">
        <v>214</v>
      </c>
      <c r="C15" s="12">
        <f>SUM(C10:C14)</f>
        <v>52740814</v>
      </c>
      <c r="D15" s="13" t="s">
        <v>3</v>
      </c>
      <c r="E15" s="1"/>
      <c r="F15" s="1"/>
    </row>
    <row r="16" spans="1:6" x14ac:dyDescent="0.25">
      <c r="A16" s="1"/>
      <c r="B16" s="49" t="s">
        <v>215</v>
      </c>
      <c r="C16" s="12">
        <f>C15*(1+'Fane 12. Nøgletal'!C14)^2</f>
        <v>53089477.719864465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jPx7wOfs1JbrQ6M/l2YtBMWkDwQS/ReKQOwD/3vkb8taKfdfMGPeh88uq9AzJ33hMj7L0OJQXcZjLJAMHHFWhA==" saltValue="79wzZX+K3WFetrsbF8gQ0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3"/>
  <sheetViews>
    <sheetView showGridLines="0" view="pageLayout" zoomScale="70" zoomScaleNormal="100" zoomScalePageLayoutView="7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9" width="11.7109375" style="2" bestFit="1" customWidth="1"/>
    <col min="10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8" t="s">
        <v>225</v>
      </c>
      <c r="C3" s="98"/>
      <c r="D3" s="98"/>
      <c r="E3" s="98"/>
      <c r="F3" s="98"/>
      <c r="G3" s="1"/>
    </row>
    <row r="4" spans="1:7" ht="15" customHeight="1" x14ac:dyDescent="0.25">
      <c r="A4" s="1"/>
      <c r="B4" s="98"/>
      <c r="C4" s="98"/>
      <c r="D4" s="98"/>
      <c r="E4" s="98"/>
      <c r="F4" s="98"/>
      <c r="G4" s="1"/>
    </row>
    <row r="5" spans="1:7" ht="15" customHeight="1" x14ac:dyDescent="0.25">
      <c r="A5" s="1"/>
      <c r="B5" s="53"/>
      <c r="C5" s="53"/>
      <c r="D5" s="53"/>
      <c r="E5" s="53"/>
      <c r="F5" s="53"/>
      <c r="G5" s="1"/>
    </row>
    <row r="6" spans="1:7" ht="15" customHeight="1" x14ac:dyDescent="0.25">
      <c r="A6" s="1"/>
      <c r="B6" s="53"/>
      <c r="C6" s="53"/>
      <c r="D6" s="53"/>
      <c r="E6" s="53"/>
      <c r="F6" s="53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9" t="s">
        <v>240</v>
      </c>
      <c r="C8" s="120"/>
      <c r="D8" s="120"/>
      <c r="E8" s="120"/>
      <c r="F8" s="121"/>
      <c r="G8" s="1"/>
    </row>
    <row r="9" spans="1:7" x14ac:dyDescent="0.25">
      <c r="A9" s="1"/>
      <c r="B9" s="118" t="s">
        <v>241</v>
      </c>
      <c r="C9" s="116"/>
      <c r="D9" s="117"/>
      <c r="E9" s="9">
        <v>-6178159.7884206325</v>
      </c>
      <c r="F9" s="14" t="s">
        <v>3</v>
      </c>
      <c r="G9" s="1"/>
    </row>
    <row r="10" spans="1:7" x14ac:dyDescent="0.25">
      <c r="A10" s="1"/>
      <c r="B10" s="118" t="s">
        <v>242</v>
      </c>
      <c r="C10" s="116"/>
      <c r="D10" s="117"/>
      <c r="E10" s="9">
        <v>-5743580.7428738028</v>
      </c>
      <c r="F10" s="14" t="s">
        <v>3</v>
      </c>
      <c r="G10" s="1"/>
    </row>
    <row r="11" spans="1:7" x14ac:dyDescent="0.25">
      <c r="A11" s="1"/>
      <c r="B11" s="49"/>
      <c r="C11" s="50"/>
      <c r="D11" s="50"/>
      <c r="E11" s="50"/>
      <c r="F11" s="20"/>
      <c r="G11" s="1"/>
    </row>
    <row r="12" spans="1:7" ht="52.5" customHeight="1" x14ac:dyDescent="0.25">
      <c r="A12" s="1"/>
      <c r="B12" s="105" t="s">
        <v>243</v>
      </c>
      <c r="C12" s="106"/>
      <c r="D12" s="106"/>
      <c r="E12" s="106"/>
      <c r="F12" s="107"/>
      <c r="G12" s="1"/>
    </row>
    <row r="13" spans="1:7" ht="27" customHeight="1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9" t="s">
        <v>244</v>
      </c>
      <c r="C14" s="120"/>
      <c r="D14" s="120"/>
      <c r="E14" s="120"/>
      <c r="F14" s="121"/>
      <c r="G14" s="1"/>
    </row>
    <row r="15" spans="1:7" x14ac:dyDescent="0.25">
      <c r="A15" s="1"/>
      <c r="B15" s="118" t="s">
        <v>245</v>
      </c>
      <c r="C15" s="116"/>
      <c r="D15" s="117"/>
      <c r="E15" s="9">
        <v>-2869771.070070412</v>
      </c>
      <c r="F15" s="14" t="s">
        <v>3</v>
      </c>
      <c r="G15" s="1"/>
    </row>
    <row r="16" spans="1:7" x14ac:dyDescent="0.25">
      <c r="A16" s="1"/>
      <c r="B16" s="118" t="s">
        <v>246</v>
      </c>
      <c r="C16" s="116"/>
      <c r="D16" s="117"/>
      <c r="E16" s="9">
        <v>-2869771.070070412</v>
      </c>
      <c r="F16" s="14" t="s">
        <v>3</v>
      </c>
      <c r="G16" s="1"/>
    </row>
    <row r="17" spans="1:9" x14ac:dyDescent="0.25">
      <c r="A17" s="1"/>
      <c r="B17" s="118" t="s">
        <v>247</v>
      </c>
      <c r="C17" s="116"/>
      <c r="D17" s="117"/>
      <c r="E17" s="9">
        <v>-2869771.070070412</v>
      </c>
      <c r="F17" s="14" t="s">
        <v>3</v>
      </c>
      <c r="G17" s="1"/>
    </row>
    <row r="18" spans="1:9" x14ac:dyDescent="0.25">
      <c r="A18" s="1"/>
      <c r="B18" s="118" t="s">
        <v>248</v>
      </c>
      <c r="C18" s="116"/>
      <c r="D18" s="117"/>
      <c r="E18" s="9">
        <v>-2869771.070070412</v>
      </c>
      <c r="F18" s="14" t="s">
        <v>3</v>
      </c>
      <c r="G18" s="1"/>
    </row>
    <row r="19" spans="1:9" x14ac:dyDescent="0.25">
      <c r="A19" s="1"/>
      <c r="B19" s="49"/>
      <c r="C19" s="50"/>
      <c r="D19" s="50"/>
      <c r="E19" s="50"/>
      <c r="F19" s="20"/>
      <c r="G19" s="1"/>
    </row>
    <row r="20" spans="1:9" ht="29.25" customHeight="1" x14ac:dyDescent="0.25">
      <c r="A20" s="1"/>
      <c r="B20" s="105" t="s">
        <v>257</v>
      </c>
      <c r="C20" s="106"/>
      <c r="D20" s="106"/>
      <c r="E20" s="106"/>
      <c r="F20" s="107"/>
      <c r="G20" s="1"/>
      <c r="H20" s="40"/>
    </row>
    <row r="21" spans="1:9" ht="28.5" customHeight="1" x14ac:dyDescent="0.25">
      <c r="A21" s="1"/>
      <c r="B21" s="1"/>
      <c r="C21" s="1"/>
      <c r="D21" s="1"/>
      <c r="E21" s="1"/>
      <c r="F21" s="1"/>
      <c r="G21" s="1"/>
      <c r="H21" s="40"/>
    </row>
    <row r="22" spans="1:9" x14ac:dyDescent="0.25">
      <c r="A22" s="1"/>
      <c r="B22" s="62" t="s">
        <v>249</v>
      </c>
      <c r="C22" s="63"/>
      <c r="D22" s="63"/>
      <c r="E22" s="63"/>
      <c r="F22" s="64"/>
      <c r="G22" s="1"/>
    </row>
    <row r="23" spans="1:9" x14ac:dyDescent="0.25">
      <c r="A23" s="1"/>
      <c r="B23" s="61" t="s">
        <v>250</v>
      </c>
      <c r="C23" s="59"/>
      <c r="D23" s="60"/>
      <c r="E23" s="9">
        <v>119365685.67658646</v>
      </c>
      <c r="F23" s="14" t="s">
        <v>3</v>
      </c>
      <c r="G23" s="1"/>
      <c r="I23" s="40"/>
    </row>
    <row r="24" spans="1:9" x14ac:dyDescent="0.25">
      <c r="A24" s="1"/>
      <c r="B24" s="61" t="s">
        <v>251</v>
      </c>
      <c r="C24" s="59"/>
      <c r="D24" s="60"/>
      <c r="E24" s="9">
        <v>120941419</v>
      </c>
      <c r="F24" s="14" t="s">
        <v>3</v>
      </c>
      <c r="G24" s="1"/>
    </row>
    <row r="25" spans="1:9" x14ac:dyDescent="0.25">
      <c r="A25" s="1"/>
      <c r="B25" s="61" t="s">
        <v>34</v>
      </c>
      <c r="C25" s="59"/>
      <c r="D25" s="60"/>
      <c r="E25" s="9">
        <v>0</v>
      </c>
      <c r="F25" s="14" t="s">
        <v>3</v>
      </c>
      <c r="G25" s="1"/>
    </row>
    <row r="26" spans="1:9" x14ac:dyDescent="0.25">
      <c r="A26" s="1"/>
      <c r="B26" s="57" t="s">
        <v>259</v>
      </c>
      <c r="C26" s="58"/>
      <c r="D26" s="69"/>
      <c r="E26" s="39">
        <f>E23-(E24-E25)</f>
        <v>-1575733.323413536</v>
      </c>
      <c r="F26" s="17" t="s">
        <v>3</v>
      </c>
      <c r="G26" s="1"/>
    </row>
    <row r="27" spans="1:9" x14ac:dyDescent="0.25">
      <c r="A27" s="1"/>
      <c r="B27" s="49"/>
      <c r="C27" s="50"/>
      <c r="D27" s="50"/>
      <c r="E27" s="50"/>
      <c r="F27" s="20"/>
      <c r="G27" s="1"/>
      <c r="I27" s="40"/>
    </row>
    <row r="28" spans="1:9" x14ac:dyDescent="0.25">
      <c r="A28" s="1"/>
      <c r="B28" s="1"/>
      <c r="C28" s="1"/>
      <c r="D28" s="1"/>
      <c r="E28" s="1"/>
      <c r="F28" s="1"/>
      <c r="G28" s="1"/>
    </row>
    <row r="29" spans="1:9" x14ac:dyDescent="0.25">
      <c r="A29" s="1"/>
      <c r="B29" s="119" t="s">
        <v>261</v>
      </c>
      <c r="C29" s="120"/>
      <c r="D29" s="120"/>
      <c r="E29" s="120"/>
      <c r="F29" s="121"/>
      <c r="G29" s="1"/>
    </row>
    <row r="30" spans="1:9" x14ac:dyDescent="0.25">
      <c r="A30" s="1"/>
      <c r="B30" s="111" t="s">
        <v>262</v>
      </c>
      <c r="C30" s="112"/>
      <c r="D30" s="130"/>
      <c r="E30" s="10">
        <v>1396182.592852656</v>
      </c>
      <c r="F30" s="17" t="s">
        <v>3</v>
      </c>
      <c r="G30" s="1"/>
    </row>
    <row r="31" spans="1:9" x14ac:dyDescent="0.25">
      <c r="A31" s="1"/>
      <c r="B31" s="119"/>
      <c r="C31" s="120"/>
      <c r="D31" s="120"/>
      <c r="E31" s="120"/>
      <c r="F31" s="121"/>
      <c r="G31" s="1"/>
    </row>
    <row r="32" spans="1:9" ht="30" customHeight="1" x14ac:dyDescent="0.25">
      <c r="A32" s="1"/>
      <c r="B32" s="105" t="s">
        <v>263</v>
      </c>
      <c r="C32" s="106"/>
      <c r="D32" s="106"/>
      <c r="E32" s="106"/>
      <c r="F32" s="107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19" t="s">
        <v>114</v>
      </c>
      <c r="C34" s="120"/>
      <c r="D34" s="120"/>
      <c r="E34" s="120"/>
      <c r="F34" s="121"/>
      <c r="G34" s="1"/>
    </row>
    <row r="35" spans="1:7" x14ac:dyDescent="0.25">
      <c r="A35" s="1"/>
      <c r="B35" s="113" t="s">
        <v>175</v>
      </c>
      <c r="C35" s="114"/>
      <c r="D35" s="115"/>
      <c r="E35" s="9">
        <f>IF(AND(E9&lt;0,SUM(E10,E26)&gt;0,E10&gt;0),SUM(E15:E18),IF(AND(E9&lt;0,SUM(E10,E26)&gt;0,E10&lt;0,E26&gt;0),(SUM(E15:E18)-E10),IF(AND(E9&lt;0,SUM(E10,E26)&lt;0),(SUM(E15:E18)+E26),IF(AND(E9&gt;0,SUM(E9:E10,E26)&gt;0),0,IF(AND(E9&gt;0,SUM(E9:E10,E26)&lt;0),SUM(E9:E10,E26),0)))))</f>
        <v>-13054817.603695184</v>
      </c>
      <c r="F35" s="14" t="s">
        <v>3</v>
      </c>
      <c r="G35" s="1"/>
    </row>
    <row r="36" spans="1:7" x14ac:dyDescent="0.25">
      <c r="A36" s="1"/>
      <c r="B36" s="113" t="s">
        <v>113</v>
      </c>
      <c r="C36" s="114"/>
      <c r="D36" s="115"/>
      <c r="E36" s="9">
        <v>4</v>
      </c>
      <c r="F36" s="14" t="s">
        <v>19</v>
      </c>
      <c r="G36" s="1"/>
    </row>
    <row r="37" spans="1:7" x14ac:dyDescent="0.25">
      <c r="A37" s="1"/>
      <c r="B37" s="129" t="s">
        <v>252</v>
      </c>
      <c r="C37" s="129"/>
      <c r="D37" s="129"/>
      <c r="E37" s="10">
        <f>E35/E36</f>
        <v>-3263704.400923796</v>
      </c>
      <c r="F37" s="17" t="s">
        <v>3</v>
      </c>
      <c r="G37" s="1"/>
    </row>
    <row r="38" spans="1:7" x14ac:dyDescent="0.25">
      <c r="A38" s="1"/>
      <c r="B38" s="126"/>
      <c r="C38" s="127"/>
      <c r="D38" s="127"/>
      <c r="E38" s="127"/>
      <c r="F38" s="128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33"/>
      <c r="B49" s="33"/>
      <c r="C49" s="33"/>
      <c r="D49" s="33"/>
      <c r="E49" s="33"/>
      <c r="F49" s="33"/>
      <c r="G49" s="33"/>
    </row>
    <row r="50" spans="1:7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33"/>
      <c r="B51" s="33"/>
      <c r="C51" s="33"/>
      <c r="D51" s="33"/>
      <c r="E51" s="33"/>
      <c r="F51" s="33"/>
      <c r="G51" s="33"/>
    </row>
    <row r="52" spans="1:7" x14ac:dyDescent="0.25">
      <c r="A52" s="33"/>
      <c r="B52" s="33"/>
      <c r="C52" s="33"/>
      <c r="D52" s="33"/>
      <c r="E52" s="33"/>
      <c r="F52" s="33"/>
      <c r="G52" s="33"/>
    </row>
    <row r="53" spans="1:7" x14ac:dyDescent="0.25">
      <c r="A53" s="33"/>
      <c r="B53" s="33"/>
      <c r="C53" s="33"/>
      <c r="D53" s="33"/>
      <c r="E53" s="33"/>
      <c r="F53" s="33"/>
      <c r="G53" s="33"/>
    </row>
  </sheetData>
  <sheetProtection algorithmName="SHA-512" hashValue="0SSzMwZsBQVpdZ0AtpkGp5szdAk0CuxDeayzhKboBTVN1mPpFHt3UdYTP0PBtflBpYglFvcvAfmKomHPDLorvg==" saltValue="lq+07J9/Y25iEHmt7YUp/w==" spinCount="100000" sheet="1" objects="1" scenarios="1"/>
  <mergeCells count="20">
    <mergeCell ref="B34:F34"/>
    <mergeCell ref="B38:F38"/>
    <mergeCell ref="B10:D10"/>
    <mergeCell ref="B12:F12"/>
    <mergeCell ref="B14:F14"/>
    <mergeCell ref="B18:D18"/>
    <mergeCell ref="B20:F20"/>
    <mergeCell ref="B35:D35"/>
    <mergeCell ref="B36:D36"/>
    <mergeCell ref="B37:D37"/>
    <mergeCell ref="B29:F29"/>
    <mergeCell ref="B30:D30"/>
    <mergeCell ref="B31:F31"/>
    <mergeCell ref="B32:F32"/>
    <mergeCell ref="B3:F4"/>
    <mergeCell ref="B16:D16"/>
    <mergeCell ref="B17:D17"/>
    <mergeCell ref="B9:D9"/>
    <mergeCell ref="B8:F8"/>
    <mergeCell ref="B15:D15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178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9" t="s">
        <v>171</v>
      </c>
      <c r="C8" s="120"/>
      <c r="D8" s="120"/>
      <c r="E8" s="120"/>
      <c r="F8" s="120"/>
      <c r="G8" s="120"/>
      <c r="H8" s="12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2"/>
      <c r="I9" s="1"/>
    </row>
    <row r="10" spans="1:9" ht="26.25" x14ac:dyDescent="0.25">
      <c r="A10" s="1"/>
      <c r="B10" s="43" t="s">
        <v>230</v>
      </c>
      <c r="C10" s="44">
        <v>0</v>
      </c>
      <c r="D10" s="9">
        <v>0</v>
      </c>
      <c r="E10" s="9">
        <f>IFERROR(D10/C10,0)</f>
        <v>0</v>
      </c>
      <c r="F10" s="9">
        <v>0</v>
      </c>
      <c r="G10" s="9">
        <v>14340</v>
      </c>
      <c r="H10" s="14" t="s">
        <v>3</v>
      </c>
      <c r="I10" s="1"/>
    </row>
    <row r="11" spans="1:9" ht="26.25" x14ac:dyDescent="0.25">
      <c r="A11" s="1"/>
      <c r="B11" s="43" t="s">
        <v>231</v>
      </c>
      <c r="C11" s="44">
        <v>0</v>
      </c>
      <c r="D11" s="9">
        <v>0</v>
      </c>
      <c r="E11" s="9">
        <f t="shared" ref="E11" si="0">IFERROR(D11/C11,0)</f>
        <v>0</v>
      </c>
      <c r="F11" s="9">
        <v>0</v>
      </c>
      <c r="G11" s="9">
        <v>12192</v>
      </c>
      <c r="H11" s="14" t="s">
        <v>3</v>
      </c>
      <c r="I11" s="1"/>
    </row>
    <row r="12" spans="1:9" x14ac:dyDescent="0.25">
      <c r="A12" s="1"/>
      <c r="B12" s="119" t="s">
        <v>172</v>
      </c>
      <c r="C12" s="120"/>
      <c r="D12" s="121"/>
      <c r="E12" s="12">
        <f>SUM(E10:E11)</f>
        <v>0</v>
      </c>
      <c r="F12" s="12">
        <f>SUM(F10:F11)</f>
        <v>0</v>
      </c>
      <c r="G12" s="12">
        <f>SUM(G10:G11)</f>
        <v>26532</v>
      </c>
      <c r="H12" s="13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aBR3OL7UnOOEGcw016SfthEF3wWvBov4MNLfH88XnmsYpZGXYtgJYoKEvqDATXJlWVQUm/H/b7NMFCvC7An4Dg==" saltValue="WgT1xk0E4RaW9SI8vizxoA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183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9" t="s">
        <v>87</v>
      </c>
      <c r="C8" s="50"/>
      <c r="D8" s="50"/>
      <c r="E8" s="50"/>
      <c r="F8" s="20"/>
      <c r="G8" s="1"/>
    </row>
    <row r="9" spans="1:7" ht="17.25" customHeight="1" x14ac:dyDescent="0.25">
      <c r="A9" s="1"/>
      <c r="B9" s="67" t="s">
        <v>16</v>
      </c>
      <c r="C9" s="67" t="s">
        <v>11</v>
      </c>
      <c r="D9" s="68"/>
      <c r="E9" s="67" t="s">
        <v>32</v>
      </c>
      <c r="F9" s="52"/>
      <c r="G9" s="1"/>
    </row>
    <row r="10" spans="1:7" x14ac:dyDescent="0.25">
      <c r="A10" s="1"/>
      <c r="B10" s="25" t="s">
        <v>173</v>
      </c>
      <c r="C10" s="22">
        <f>'Fane 8. Anlægsprojekter'!F12</f>
        <v>0</v>
      </c>
      <c r="D10" s="14" t="s">
        <v>3</v>
      </c>
      <c r="E10" s="9">
        <f>SUM('Fane 8. Anlægsprojekter'!E12,'Fane 8. Anlægsprojekter'!G12)</f>
        <v>26532</v>
      </c>
      <c r="F10" s="14" t="s">
        <v>3</v>
      </c>
      <c r="G10" s="1"/>
    </row>
    <row r="11" spans="1:7" x14ac:dyDescent="0.25">
      <c r="A11" s="1"/>
      <c r="B11" s="45" t="s">
        <v>232</v>
      </c>
      <c r="C11" s="22">
        <v>439783</v>
      </c>
      <c r="D11" s="14" t="s">
        <v>3</v>
      </c>
      <c r="E11" s="9">
        <v>234716</v>
      </c>
      <c r="F11" s="14" t="s">
        <v>3</v>
      </c>
      <c r="G11" s="1"/>
    </row>
    <row r="12" spans="1:7" x14ac:dyDescent="0.25">
      <c r="A12" s="1"/>
      <c r="B12" s="45" t="s">
        <v>253</v>
      </c>
      <c r="C12" s="22">
        <v>0</v>
      </c>
      <c r="D12" s="14" t="s">
        <v>3</v>
      </c>
      <c r="E12" s="9">
        <v>43001</v>
      </c>
      <c r="F12" s="14" t="s">
        <v>3</v>
      </c>
      <c r="G12" s="1"/>
    </row>
    <row r="13" spans="1:7" x14ac:dyDescent="0.25">
      <c r="A13" s="1"/>
      <c r="B13" s="25" t="s">
        <v>233</v>
      </c>
      <c r="C13" s="22">
        <v>0</v>
      </c>
      <c r="D13" s="14" t="s">
        <v>3</v>
      </c>
      <c r="E13" s="9">
        <v>327805</v>
      </c>
      <c r="F13" s="14" t="s">
        <v>3</v>
      </c>
      <c r="G13" s="1"/>
    </row>
    <row r="14" spans="1:7" x14ac:dyDescent="0.25">
      <c r="A14" s="1"/>
      <c r="B14" s="49" t="s">
        <v>158</v>
      </c>
      <c r="C14" s="12">
        <f>SUM(C10:C13)</f>
        <v>439783</v>
      </c>
      <c r="D14" s="13" t="s">
        <v>3</v>
      </c>
      <c r="E14" s="12">
        <f>SUM(E10:E13)</f>
        <v>632054</v>
      </c>
      <c r="F14" s="13" t="s">
        <v>3</v>
      </c>
      <c r="G14" s="1"/>
    </row>
    <row r="15" spans="1:7" x14ac:dyDescent="0.25">
      <c r="A15" s="1"/>
      <c r="B15" s="49" t="s">
        <v>216</v>
      </c>
      <c r="C15" s="12">
        <f>C14*(1+'Fane 12. Nøgletal'!C14)</f>
        <v>441234.28390000004</v>
      </c>
      <c r="D15" s="13" t="s">
        <v>3</v>
      </c>
      <c r="E15" s="12">
        <f>E14*(1+'Fane 12. Nøgletal'!C14)</f>
        <v>634139.77820000006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Xz2201bFwNdvTaw9uj4Lrfl9xXqtPi8rnjj7ntETNuJAdJcxgx3ny+Y0fSNzSGtNoObZzXHr6BCTuX6XNGzDeA==" saltValue="NsxAOgQ77ZDgHsFGZABUp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182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9" t="s">
        <v>105</v>
      </c>
      <c r="C8" s="120"/>
      <c r="D8" s="120"/>
      <c r="E8" s="120"/>
      <c r="F8" s="121"/>
      <c r="G8" s="1"/>
    </row>
    <row r="9" spans="1:7" x14ac:dyDescent="0.25">
      <c r="A9" s="1"/>
      <c r="B9" s="67" t="s">
        <v>16</v>
      </c>
      <c r="C9" s="67" t="s">
        <v>11</v>
      </c>
      <c r="D9" s="68"/>
      <c r="E9" s="67" t="s">
        <v>32</v>
      </c>
      <c r="F9" s="52"/>
      <c r="G9" s="1"/>
    </row>
    <row r="10" spans="1:7" x14ac:dyDescent="0.25">
      <c r="A10" s="1"/>
      <c r="B10" s="25" t="s">
        <v>254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9" t="s">
        <v>217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107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49" t="s">
        <v>155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9" t="s">
        <v>106</v>
      </c>
      <c r="C16" s="120"/>
      <c r="D16" s="120"/>
      <c r="E16" s="120"/>
      <c r="F16" s="121"/>
      <c r="G16" s="1"/>
    </row>
    <row r="17" spans="1:7" x14ac:dyDescent="0.25">
      <c r="A17" s="1"/>
      <c r="B17" s="67" t="s">
        <v>16</v>
      </c>
      <c r="C17" s="67" t="s">
        <v>11</v>
      </c>
      <c r="D17" s="68"/>
      <c r="E17" s="67" t="s">
        <v>32</v>
      </c>
      <c r="F17" s="52"/>
      <c r="G17" s="1"/>
    </row>
    <row r="18" spans="1:7" x14ac:dyDescent="0.25">
      <c r="A18" s="1"/>
      <c r="B18" s="25" t="s">
        <v>254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9" t="s">
        <v>217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107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49" t="s">
        <v>156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9" t="s">
        <v>144</v>
      </c>
      <c r="C24" s="120"/>
      <c r="D24" s="120"/>
      <c r="E24" s="120"/>
      <c r="F24" s="121"/>
      <c r="G24" s="1"/>
    </row>
    <row r="25" spans="1:7" x14ac:dyDescent="0.25">
      <c r="A25" s="1"/>
      <c r="B25" s="67" t="s">
        <v>16</v>
      </c>
      <c r="C25" s="67" t="s">
        <v>11</v>
      </c>
      <c r="D25" s="68"/>
      <c r="E25" s="67" t="s">
        <v>32</v>
      </c>
      <c r="F25" s="52"/>
      <c r="G25" s="1"/>
    </row>
    <row r="26" spans="1:7" x14ac:dyDescent="0.25">
      <c r="A26" s="1"/>
      <c r="B26" s="25" t="s">
        <v>254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9" t="s">
        <v>217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107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49" t="s">
        <v>157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9" t="s">
        <v>218</v>
      </c>
      <c r="C32" s="120"/>
      <c r="D32" s="120"/>
      <c r="E32" s="120"/>
      <c r="F32" s="121"/>
      <c r="G32" s="1"/>
    </row>
    <row r="33" spans="1:7" x14ac:dyDescent="0.25">
      <c r="A33" s="1"/>
      <c r="B33" s="67" t="s">
        <v>16</v>
      </c>
      <c r="C33" s="67" t="s">
        <v>11</v>
      </c>
      <c r="D33" s="68"/>
      <c r="E33" s="67" t="s">
        <v>32</v>
      </c>
      <c r="F33" s="52"/>
      <c r="G33" s="1"/>
    </row>
    <row r="34" spans="1:7" x14ac:dyDescent="0.25">
      <c r="A34" s="1"/>
      <c r="B34" s="25" t="s">
        <v>254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9" t="s">
        <v>217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107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49" t="s">
        <v>219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3R88O4Ii1a/noQD7JXSmwIpFHg0nNCaTp5YJmd1yFBx7A6tMKEYjhKvOd7Hp+m5oPtRL/e9kceaNXh2dJEScTg==" saltValue="+3Oe5x74teui9obkuBGL9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7109375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8" t="s">
        <v>181</v>
      </c>
      <c r="C3" s="98"/>
      <c r="D3" s="98"/>
      <c r="E3" s="98"/>
      <c r="F3" s="98"/>
      <c r="G3" s="1"/>
    </row>
    <row r="4" spans="1:7" ht="25.5" customHeight="1" x14ac:dyDescent="0.25">
      <c r="A4" s="1"/>
      <c r="B4" s="98"/>
      <c r="C4" s="98"/>
      <c r="D4" s="98"/>
      <c r="E4" s="98"/>
      <c r="F4" s="9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9" t="s">
        <v>145</v>
      </c>
      <c r="C8" s="120"/>
      <c r="D8" s="120"/>
      <c r="E8" s="120"/>
      <c r="F8" s="121"/>
      <c r="G8" s="1"/>
    </row>
    <row r="9" spans="1:7" ht="15" customHeight="1" x14ac:dyDescent="0.25">
      <c r="A9" s="1"/>
      <c r="B9" s="51" t="s">
        <v>146</v>
      </c>
      <c r="C9" s="131" t="s">
        <v>11</v>
      </c>
      <c r="D9" s="132"/>
      <c r="E9" s="131" t="s">
        <v>32</v>
      </c>
      <c r="F9" s="132"/>
      <c r="G9" s="1"/>
    </row>
    <row r="10" spans="1:7" x14ac:dyDescent="0.25">
      <c r="A10" s="1"/>
      <c r="B10" s="25" t="s">
        <v>234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147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220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ICZ7+H2vGibKCf8KyasKOL56csXGWYi4qfxlAp3DDBsXKtY2aCeJ5XFoJZC5GrFhzODTSNTqGA2zKG5CJzzHtA==" saltValue="Pa+8Ucgj0f3Qe6FXpq8Oz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8" t="s">
        <v>180</v>
      </c>
      <c r="C3" s="98"/>
      <c r="D3" s="98"/>
      <c r="E3" s="98"/>
      <c r="F3" s="98"/>
      <c r="G3" s="1"/>
    </row>
    <row r="4" spans="1:7" ht="25.5" customHeight="1" x14ac:dyDescent="0.25">
      <c r="A4" s="1"/>
      <c r="B4" s="98"/>
      <c r="C4" s="98"/>
      <c r="D4" s="98"/>
      <c r="E4" s="98"/>
      <c r="F4" s="9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9" t="s">
        <v>101</v>
      </c>
      <c r="C8" s="120"/>
      <c r="D8" s="120"/>
      <c r="E8" s="120"/>
      <c r="F8" s="121"/>
      <c r="G8" s="1"/>
    </row>
    <row r="9" spans="1:7" ht="15" customHeight="1" x14ac:dyDescent="0.25">
      <c r="A9" s="1"/>
      <c r="B9" s="51" t="s">
        <v>17</v>
      </c>
      <c r="C9" s="51" t="s">
        <v>11</v>
      </c>
      <c r="D9" s="52"/>
      <c r="E9" s="51" t="s">
        <v>32</v>
      </c>
      <c r="F9" s="52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9" t="s">
        <v>96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9" t="s">
        <v>97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9" t="s">
        <v>102</v>
      </c>
      <c r="C14" s="120"/>
      <c r="D14" s="120"/>
      <c r="E14" s="120"/>
      <c r="F14" s="121"/>
      <c r="G14" s="1"/>
    </row>
    <row r="15" spans="1:7" ht="26.25" x14ac:dyDescent="0.25">
      <c r="A15" s="1"/>
      <c r="B15" s="51" t="s">
        <v>17</v>
      </c>
      <c r="C15" s="51" t="s">
        <v>11</v>
      </c>
      <c r="D15" s="52"/>
      <c r="E15" s="51" t="s">
        <v>32</v>
      </c>
      <c r="F15" s="52"/>
      <c r="G15" s="1"/>
    </row>
    <row r="16" spans="1:7" x14ac:dyDescent="0.25">
      <c r="A16" s="1"/>
      <c r="B16" s="25" t="s">
        <v>239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9" t="s">
        <v>96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9" t="s">
        <v>98</v>
      </c>
      <c r="C18" s="12">
        <f>C17*(1+'Fane 12. Nøgletal'!C14)^2</f>
        <v>0</v>
      </c>
      <c r="D18" s="13" t="s">
        <v>3</v>
      </c>
      <c r="E18" s="12">
        <f>E17*(1+'Fane 12.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19" t="s">
        <v>148</v>
      </c>
      <c r="C20" s="120"/>
      <c r="D20" s="120"/>
      <c r="E20" s="120"/>
      <c r="F20" s="121"/>
      <c r="G20" s="1"/>
    </row>
    <row r="21" spans="1:7" ht="26.25" x14ac:dyDescent="0.25">
      <c r="A21" s="1"/>
      <c r="B21" s="51" t="s">
        <v>17</v>
      </c>
      <c r="C21" s="51" t="s">
        <v>11</v>
      </c>
      <c r="D21" s="52"/>
      <c r="E21" s="51" t="s">
        <v>32</v>
      </c>
      <c r="F21" s="52"/>
      <c r="G21" s="1"/>
    </row>
    <row r="22" spans="1:7" x14ac:dyDescent="0.25">
      <c r="A22" s="1"/>
      <c r="B22" s="25" t="s">
        <v>239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9" t="s">
        <v>96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9" t="s">
        <v>149</v>
      </c>
      <c r="C24" s="12">
        <f>C23*(1+'Fane 12. Nøgletal'!C14)^3</f>
        <v>0</v>
      </c>
      <c r="D24" s="13" t="s">
        <v>3</v>
      </c>
      <c r="E24" s="12">
        <f>E23*(1+'Fane 12.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19" t="s">
        <v>221</v>
      </c>
      <c r="C26" s="120"/>
      <c r="D26" s="120"/>
      <c r="E26" s="120"/>
      <c r="F26" s="121"/>
      <c r="G26" s="1"/>
    </row>
    <row r="27" spans="1:7" ht="26.25" x14ac:dyDescent="0.25">
      <c r="A27" s="1"/>
      <c r="B27" s="51" t="s">
        <v>17</v>
      </c>
      <c r="C27" s="51" t="s">
        <v>11</v>
      </c>
      <c r="D27" s="52"/>
      <c r="E27" s="51" t="s">
        <v>32</v>
      </c>
      <c r="F27" s="52"/>
      <c r="G27" s="1"/>
    </row>
    <row r="28" spans="1:7" x14ac:dyDescent="0.25">
      <c r="A28" s="1"/>
      <c r="B28" s="25" t="s">
        <v>239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9" t="s">
        <v>96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9" t="s">
        <v>222</v>
      </c>
      <c r="C30" s="12">
        <f>C29*(1+'Fane 12. Nøgletal'!C14)^4</f>
        <v>0</v>
      </c>
      <c r="D30" s="13" t="s">
        <v>3</v>
      </c>
      <c r="E30" s="12">
        <f>E29*(1+'Fane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tFxHos6ME/MRhc3kT+8JsHFJkYknh/wSHsikzdBc8btNqprtfJ6i1N1NlVOE9QnWGWPY1N7rvm2m1+5w9hD4jQ==" saltValue="pB6O7+TtAXIqc+pXzl1BR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8" t="s">
        <v>179</v>
      </c>
      <c r="C3" s="98"/>
      <c r="D3" s="1"/>
    </row>
    <row r="4" spans="1:4" ht="25.5" customHeight="1" x14ac:dyDescent="0.25">
      <c r="A4" s="1"/>
      <c r="B4" s="98"/>
      <c r="C4" s="9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9" t="s">
        <v>14</v>
      </c>
      <c r="C8" s="20"/>
      <c r="D8" s="1"/>
    </row>
    <row r="9" spans="1:4" x14ac:dyDescent="0.25">
      <c r="A9" s="1"/>
      <c r="B9" s="65" t="s">
        <v>125</v>
      </c>
      <c r="C9" s="26">
        <v>1.2699999999999999E-2</v>
      </c>
      <c r="D9" s="1"/>
    </row>
    <row r="10" spans="1:4" x14ac:dyDescent="0.25">
      <c r="A10" s="1"/>
      <c r="B10" s="65" t="s">
        <v>22</v>
      </c>
      <c r="C10" s="26">
        <v>1.7500000000000002E-2</v>
      </c>
      <c r="D10" s="1"/>
    </row>
    <row r="11" spans="1:4" x14ac:dyDescent="0.25">
      <c r="A11" s="1"/>
      <c r="B11" s="65" t="s">
        <v>126</v>
      </c>
      <c r="C11" s="26">
        <v>1.6899999999999998E-2</v>
      </c>
      <c r="D11" s="1"/>
    </row>
    <row r="12" spans="1:4" x14ac:dyDescent="0.25">
      <c r="A12" s="1"/>
      <c r="B12" s="30" t="s">
        <v>41</v>
      </c>
      <c r="C12" s="31">
        <v>1.9699999999999999E-2</v>
      </c>
      <c r="D12" s="1"/>
    </row>
    <row r="13" spans="1:4" x14ac:dyDescent="0.25">
      <c r="A13" s="1"/>
      <c r="B13" s="30" t="s">
        <v>150</v>
      </c>
      <c r="C13" s="31">
        <v>1.2200000000000001E-2</v>
      </c>
      <c r="D13" s="1"/>
    </row>
    <row r="14" spans="1:4" x14ac:dyDescent="0.25">
      <c r="A14" s="1"/>
      <c r="B14" s="30" t="s">
        <v>223</v>
      </c>
      <c r="C14" s="31">
        <v>3.3E-3</v>
      </c>
      <c r="D14" s="1"/>
    </row>
    <row r="15" spans="1:4" x14ac:dyDescent="0.25">
      <c r="A15" s="1"/>
      <c r="B15" s="49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49" t="s">
        <v>109</v>
      </c>
      <c r="C18" s="20"/>
      <c r="D18" s="1"/>
    </row>
    <row r="19" spans="1:4" x14ac:dyDescent="0.25">
      <c r="A19" s="1"/>
      <c r="B19" s="65" t="s">
        <v>127</v>
      </c>
      <c r="C19" s="23">
        <v>9.1000000000000004E-3</v>
      </c>
      <c r="D19" s="1"/>
    </row>
    <row r="20" spans="1:4" x14ac:dyDescent="0.25">
      <c r="A20" s="1"/>
      <c r="B20" s="65" t="s">
        <v>128</v>
      </c>
      <c r="C20" s="23">
        <v>1.77E-2</v>
      </c>
      <c r="D20" s="1"/>
    </row>
    <row r="21" spans="1:4" x14ac:dyDescent="0.25">
      <c r="A21" s="1"/>
      <c r="B21" s="65" t="s">
        <v>130</v>
      </c>
      <c r="C21" s="23">
        <v>8.6999999999999994E-3</v>
      </c>
      <c r="D21" s="1"/>
    </row>
    <row r="22" spans="1:4" x14ac:dyDescent="0.25">
      <c r="A22" s="1"/>
      <c r="B22" s="65" t="s">
        <v>129</v>
      </c>
      <c r="C22" s="32">
        <v>2.8400000000000002E-2</v>
      </c>
      <c r="D22" s="1"/>
    </row>
    <row r="23" spans="1:4" x14ac:dyDescent="0.25">
      <c r="A23" s="1"/>
      <c r="B23" s="65" t="s">
        <v>154</v>
      </c>
      <c r="C23" s="32">
        <v>2.75E-2</v>
      </c>
      <c r="D23" s="1"/>
    </row>
    <row r="24" spans="1:4" x14ac:dyDescent="0.25">
      <c r="A24" s="1"/>
      <c r="B24" s="65" t="s">
        <v>224</v>
      </c>
      <c r="C24" s="32">
        <v>1.4800000000000001E-2</v>
      </c>
      <c r="D24" s="1"/>
    </row>
    <row r="25" spans="1:4" x14ac:dyDescent="0.25">
      <c r="A25" s="1"/>
      <c r="B25" s="49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49" t="s">
        <v>110</v>
      </c>
      <c r="C28" s="20"/>
      <c r="D28" s="1"/>
    </row>
    <row r="29" spans="1:4" x14ac:dyDescent="0.25">
      <c r="A29" s="1"/>
      <c r="B29" s="65" t="s">
        <v>131</v>
      </c>
      <c r="C29" s="26">
        <v>0.02</v>
      </c>
      <c r="D29" s="1"/>
    </row>
    <row r="30" spans="1:4" x14ac:dyDescent="0.25">
      <c r="A30" s="1"/>
      <c r="B30" s="49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dp593jzffJvo/i3dutG4C3Drp2gnhtaNXVx0n6z9vPY2fmn4sM4xApLkO5NXLz3nPnBbceuizUSwXU+msBSaMg==" saltValue="nLx5Q4l/srZgJa3fi8KCe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1"/>
  <sheetViews>
    <sheetView showGridLines="0" view="pageLayout" zoomScale="90" zoomScaleNormal="100" zoomScalePageLayoutView="90" workbookViewId="0"/>
  </sheetViews>
  <sheetFormatPr defaultColWidth="9.140625" defaultRowHeight="15" x14ac:dyDescent="0.25"/>
  <cols>
    <col min="1" max="1" width="6.5703125" style="2" customWidth="1"/>
    <col min="2" max="2" width="57.14062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192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9" t="s">
        <v>13</v>
      </c>
      <c r="C8" s="50"/>
      <c r="D8" s="20"/>
      <c r="E8" s="1"/>
    </row>
    <row r="9" spans="1:5" x14ac:dyDescent="0.25">
      <c r="A9" s="1"/>
      <c r="B9" s="54" t="s">
        <v>24</v>
      </c>
      <c r="C9" s="7">
        <f>'Fane 3. Omkostninger i ØR2021'!E22</f>
        <v>56715348.767392091</v>
      </c>
      <c r="D9" s="8" t="s">
        <v>3</v>
      </c>
      <c r="E9" s="1"/>
    </row>
    <row r="10" spans="1:5" x14ac:dyDescent="0.25">
      <c r="A10" s="1"/>
      <c r="B10" s="48" t="s">
        <v>152</v>
      </c>
      <c r="C10" s="7">
        <f>'Fane 3. Omkostninger i ØR2021'!E10*(1+'Fane 12. Nøgletal'!C12)*(1-'Fane 12. Nøgletal'!C29-'Fane 5. Individuelt eff. krav'!G10)</f>
        <v>-8429659.173731178</v>
      </c>
      <c r="D10" s="8" t="s">
        <v>3</v>
      </c>
      <c r="E10" s="1"/>
    </row>
    <row r="11" spans="1:5" x14ac:dyDescent="0.25">
      <c r="A11" s="1"/>
      <c r="B11" s="48" t="s">
        <v>153</v>
      </c>
      <c r="C11" s="7">
        <f>'Fane 3. Omkostninger i ØR2021'!E11*(1+'Fane 12. Nøgletal'!C12)*(1-'Fane 12. Nøgletal'!C22-'Fane 5. Individuelt eff. krav'!G10)</f>
        <v>0</v>
      </c>
      <c r="D11" s="8" t="s">
        <v>3</v>
      </c>
      <c r="E11" s="1"/>
    </row>
    <row r="12" spans="1:5" x14ac:dyDescent="0.25">
      <c r="A12" s="1"/>
      <c r="B12" s="48" t="s">
        <v>193</v>
      </c>
      <c r="C12" s="7">
        <f>(SUM('Fane 3. Omkostninger i ØR2021'!E12,'Fane 3. Omkostninger i ØR2021'!E16,'Fane 3. Omkostninger i ØR2021'!E14)*(1+'Fane 12. Nøgletal'!C13)*(1-'Fane 12. Nøgletal'!C29-'Fane 5. Individuelt eff. krav'!G10))</f>
        <v>2017609.0934965559</v>
      </c>
      <c r="D12" s="8" t="s">
        <v>3</v>
      </c>
      <c r="E12" s="1"/>
    </row>
    <row r="13" spans="1:5" x14ac:dyDescent="0.25">
      <c r="A13" s="1"/>
      <c r="B13" s="48" t="s">
        <v>194</v>
      </c>
      <c r="C13" s="7">
        <f>(SUM('Fane 3. Omkostninger i ØR2021'!E13,'Fane 3. Omkostninger i ØR2021'!E15,'Fane 3. Omkostninger i ØR2021'!E17))*(1+'Fane 12. Nøgletal'!C13)*(1-'Fane 12. Nøgletal'!C23-'Fane 5. Individuelt eff. krav'!G10)</f>
        <v>2558741.5862215324</v>
      </c>
      <c r="D13" s="8" t="s">
        <v>3</v>
      </c>
      <c r="E13" s="1"/>
    </row>
    <row r="14" spans="1:5" ht="17.100000000000001" customHeight="1" x14ac:dyDescent="0.25">
      <c r="A14" s="1"/>
      <c r="B14" s="55" t="s">
        <v>39</v>
      </c>
      <c r="C14" s="7">
        <f>'Fane 9.1. Varige tillæg'!C15</f>
        <v>441234.28390000004</v>
      </c>
      <c r="D14" s="8" t="s">
        <v>3</v>
      </c>
      <c r="E14" s="1"/>
    </row>
    <row r="15" spans="1:5" ht="17.100000000000001" customHeight="1" x14ac:dyDescent="0.25">
      <c r="A15" s="1"/>
      <c r="B15" s="55" t="s">
        <v>40</v>
      </c>
      <c r="C15" s="9">
        <f>'Fane 9.1. Varige tillæg'!E15</f>
        <v>634139.77820000006</v>
      </c>
      <c r="D15" s="8" t="s">
        <v>3</v>
      </c>
      <c r="E15" s="1"/>
    </row>
    <row r="16" spans="1:5" ht="17.100000000000001" customHeight="1" x14ac:dyDescent="0.25">
      <c r="A16" s="1"/>
      <c r="B16" s="55" t="s">
        <v>28</v>
      </c>
      <c r="C16" s="9">
        <f>-'Fane 11. Bortfald'!C12</f>
        <v>0</v>
      </c>
      <c r="D16" s="8" t="s">
        <v>3</v>
      </c>
      <c r="E16" s="1"/>
    </row>
    <row r="17" spans="1:5" ht="17.100000000000001" customHeight="1" x14ac:dyDescent="0.25">
      <c r="A17" s="1"/>
      <c r="B17" s="55" t="s">
        <v>27</v>
      </c>
      <c r="C17" s="9">
        <f>-'Fane 11. Bortfald'!E12</f>
        <v>0</v>
      </c>
      <c r="D17" s="8" t="s">
        <v>3</v>
      </c>
      <c r="E17" s="1"/>
    </row>
    <row r="18" spans="1:5" ht="17.100000000000001" customHeight="1" x14ac:dyDescent="0.25">
      <c r="A18" s="1"/>
      <c r="B18" s="55" t="s">
        <v>139</v>
      </c>
      <c r="C18" s="9">
        <f>'Fane 10. Tilknyttet virksomhed'!C12</f>
        <v>0</v>
      </c>
      <c r="D18" s="8" t="s">
        <v>3</v>
      </c>
      <c r="E18" s="1"/>
    </row>
    <row r="19" spans="1:5" ht="17.100000000000001" customHeight="1" x14ac:dyDescent="0.25">
      <c r="A19" s="1"/>
      <c r="B19" s="55" t="s">
        <v>140</v>
      </c>
      <c r="C19" s="9">
        <f>'Fane 10. Tilknyttet virksomhed'!E12</f>
        <v>0</v>
      </c>
      <c r="D19" s="8" t="s">
        <v>3</v>
      </c>
      <c r="E19" s="1"/>
    </row>
    <row r="20" spans="1:5" ht="17.100000000000001" customHeight="1" x14ac:dyDescent="0.25">
      <c r="A20" s="1"/>
      <c r="B20" s="55" t="s">
        <v>18</v>
      </c>
      <c r="C20" s="9">
        <f>(C9-SUM(C10:C13))*'Fane 12. Nøgletal'!C11+SUM(C10:C11)*'Fane 12. Nøgletal'!C12+SUM(C12:C13)*'Fane 12. Nøgletal'!C13+SUM(C14:C19)*'Fane 12. Nøgletal'!C14</f>
        <v>916926.23469273408</v>
      </c>
      <c r="D20" s="8" t="s">
        <v>3</v>
      </c>
      <c r="E20" s="1"/>
    </row>
    <row r="21" spans="1:5" ht="17.100000000000001" customHeight="1" x14ac:dyDescent="0.25">
      <c r="A21" s="1"/>
      <c r="B21" s="55" t="s">
        <v>9</v>
      </c>
      <c r="C21" s="9">
        <f>-SUM(C9,C14:C20)*'Fane 5. Individuelt eff. krav'!G10</f>
        <v>0</v>
      </c>
      <c r="D21" s="8" t="s">
        <v>3</v>
      </c>
      <c r="E21" s="1"/>
    </row>
    <row r="22" spans="1:5" ht="17.100000000000001" customHeight="1" x14ac:dyDescent="0.25">
      <c r="A22" s="1"/>
      <c r="B22" s="55" t="s">
        <v>25</v>
      </c>
      <c r="C22" s="9">
        <f>-'Fane 4.1. Gen. krav - drift'!G41</f>
        <v>-645892.29265177599</v>
      </c>
      <c r="D22" s="8" t="s">
        <v>3</v>
      </c>
      <c r="E22" s="1"/>
    </row>
    <row r="23" spans="1:5" ht="17.100000000000001" customHeight="1" x14ac:dyDescent="0.25">
      <c r="A23" s="1"/>
      <c r="B23" s="55" t="s">
        <v>26</v>
      </c>
      <c r="C23" s="9">
        <f>-'Fane 4.2. Gen. krav - anlæg'!G41</f>
        <v>-282365.13277884724</v>
      </c>
      <c r="D23" s="8" t="s">
        <v>3</v>
      </c>
      <c r="E23" s="1"/>
    </row>
    <row r="24" spans="1:5" ht="17.100000000000001" customHeight="1" x14ac:dyDescent="0.25">
      <c r="A24" s="1"/>
      <c r="B24" s="57" t="s">
        <v>20</v>
      </c>
      <c r="C24" s="10">
        <f>SUM(C9,C14:C23)</f>
        <v>57779391.638754211</v>
      </c>
      <c r="D24" s="11" t="s">
        <v>3</v>
      </c>
      <c r="E24" s="1"/>
    </row>
    <row r="25" spans="1:5" ht="15" customHeight="1" x14ac:dyDescent="0.25">
      <c r="A25" s="1"/>
      <c r="B25" s="49" t="s">
        <v>12</v>
      </c>
      <c r="C25" s="50"/>
      <c r="D25" s="20"/>
      <c r="E25" s="1"/>
    </row>
    <row r="26" spans="1:5" ht="15" customHeight="1" x14ac:dyDescent="0.25">
      <c r="A26" s="1"/>
      <c r="B26" s="51" t="s">
        <v>12</v>
      </c>
      <c r="C26" s="10">
        <f>'Fane 6. Ikke-påvirkelige omk.'!C16</f>
        <v>53089477.719864465</v>
      </c>
      <c r="D26" s="11" t="s">
        <v>3</v>
      </c>
      <c r="E26" s="1"/>
    </row>
    <row r="27" spans="1:5" ht="15" customHeight="1" x14ac:dyDescent="0.25">
      <c r="A27" s="1"/>
      <c r="B27" s="49" t="s">
        <v>92</v>
      </c>
      <c r="C27" s="50"/>
      <c r="D27" s="20"/>
      <c r="E27" s="1"/>
    </row>
    <row r="28" spans="1:5" ht="15" customHeight="1" x14ac:dyDescent="0.25">
      <c r="A28" s="1"/>
      <c r="B28" s="55" t="s">
        <v>88</v>
      </c>
      <c r="C28" s="9">
        <f>'Fane 9.2. Engangstillæg'!C14</f>
        <v>0</v>
      </c>
      <c r="D28" s="8" t="s">
        <v>3</v>
      </c>
      <c r="E28" s="1"/>
    </row>
    <row r="29" spans="1:5" ht="15" customHeight="1" x14ac:dyDescent="0.25">
      <c r="A29" s="1"/>
      <c r="B29" s="55" t="s">
        <v>89</v>
      </c>
      <c r="C29" s="9">
        <f>'Fane 9.2. Engangstillæg'!E14</f>
        <v>0</v>
      </c>
      <c r="D29" s="8" t="s">
        <v>3</v>
      </c>
      <c r="E29" s="1"/>
    </row>
    <row r="30" spans="1:5" x14ac:dyDescent="0.25">
      <c r="A30" s="1"/>
      <c r="B30" s="57" t="s">
        <v>93</v>
      </c>
      <c r="C30" s="10">
        <f>SUM(C28:C29)</f>
        <v>0</v>
      </c>
      <c r="D30" s="11" t="s">
        <v>3</v>
      </c>
      <c r="E30" s="1"/>
    </row>
    <row r="31" spans="1:5" x14ac:dyDescent="0.25">
      <c r="A31" s="1"/>
      <c r="B31" s="34" t="s">
        <v>175</v>
      </c>
      <c r="C31" s="50"/>
      <c r="D31" s="20"/>
      <c r="E31" s="1"/>
    </row>
    <row r="32" spans="1:5" x14ac:dyDescent="0.25">
      <c r="A32" s="1"/>
      <c r="B32" s="66" t="s">
        <v>176</v>
      </c>
      <c r="C32" s="10">
        <f>'Fane 7. Kontrol af ØR2020'!E30</f>
        <v>1396182.592852656</v>
      </c>
      <c r="D32" s="11" t="s">
        <v>3</v>
      </c>
      <c r="E32" s="1"/>
    </row>
    <row r="33" spans="1:5" x14ac:dyDescent="0.25">
      <c r="A33" s="1"/>
      <c r="B33" s="34" t="s">
        <v>228</v>
      </c>
      <c r="C33" s="50"/>
      <c r="D33" s="20"/>
      <c r="E33" s="1"/>
    </row>
    <row r="34" spans="1:5" ht="26.25" x14ac:dyDescent="0.25">
      <c r="A34" s="1"/>
      <c r="B34" s="41" t="s">
        <v>258</v>
      </c>
      <c r="C34" s="10">
        <v>-6206202</v>
      </c>
      <c r="D34" s="11" t="s">
        <v>3</v>
      </c>
      <c r="E34" s="1"/>
    </row>
    <row r="35" spans="1:5" x14ac:dyDescent="0.25">
      <c r="A35" s="1"/>
      <c r="B35" s="49" t="s">
        <v>30</v>
      </c>
      <c r="C35" s="12">
        <f>SUM(C24,C26,C30,C32,C34)</f>
        <v>106058849.95147133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CVsjXVLaVswKBRCxmZnTfWuXJNqjf9nl6WXn5s+4jw2uhTH1zoUMf17j/fg1RH2PSfacI//UtaYlXC91QV/biw==" saltValue="ifV3qM0flA+VxyP2XA2Kt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1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195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197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9" t="s">
        <v>13</v>
      </c>
      <c r="C8" s="50"/>
      <c r="D8" s="20"/>
      <c r="E8" s="1"/>
    </row>
    <row r="9" spans="1:5" ht="15" customHeight="1" x14ac:dyDescent="0.25">
      <c r="A9" s="1"/>
      <c r="B9" s="54" t="s">
        <v>141</v>
      </c>
      <c r="C9" s="7">
        <f>'Fane 2.1. Økonomisk ramme 2022'!C24</f>
        <v>57779391.638754211</v>
      </c>
      <c r="D9" s="8" t="s">
        <v>3</v>
      </c>
      <c r="E9" s="1"/>
    </row>
    <row r="10" spans="1:5" ht="15" customHeight="1" x14ac:dyDescent="0.25">
      <c r="A10" s="1"/>
      <c r="B10" s="55" t="s">
        <v>28</v>
      </c>
      <c r="C10" s="7">
        <f>-'Fane 11. Bortfald'!C18</f>
        <v>0</v>
      </c>
      <c r="D10" s="8" t="s">
        <v>3</v>
      </c>
      <c r="E10" s="1"/>
    </row>
    <row r="11" spans="1:5" ht="15" customHeight="1" x14ac:dyDescent="0.25">
      <c r="A11" s="1"/>
      <c r="B11" s="55" t="s">
        <v>27</v>
      </c>
      <c r="C11" s="7">
        <f>-'Fane 11. Bortfald'!E18</f>
        <v>0</v>
      </c>
      <c r="D11" s="8" t="s">
        <v>3</v>
      </c>
      <c r="E11" s="1"/>
    </row>
    <row r="12" spans="1:5" ht="15" customHeight="1" x14ac:dyDescent="0.25">
      <c r="A12" s="1"/>
      <c r="B12" s="48" t="s">
        <v>18</v>
      </c>
      <c r="C12" s="9">
        <f>SUM(C9,C10:C11)*'Fane 12. Nøgletal'!C14</f>
        <v>190671.9924078889</v>
      </c>
      <c r="D12" s="8" t="s">
        <v>3</v>
      </c>
      <c r="E12" s="1"/>
    </row>
    <row r="13" spans="1:5" ht="15" customHeight="1" x14ac:dyDescent="0.25">
      <c r="A13" s="1"/>
      <c r="B13" s="48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8" t="s">
        <v>25</v>
      </c>
      <c r="C14" s="9">
        <f>-'Fane 4.1. Gen. krav - drift'!G47</f>
        <v>-635063.26247317635</v>
      </c>
      <c r="D14" s="8" t="s">
        <v>3</v>
      </c>
      <c r="E14" s="1"/>
    </row>
    <row r="15" spans="1:5" x14ac:dyDescent="0.25">
      <c r="A15" s="1"/>
      <c r="B15" s="48" t="s">
        <v>26</v>
      </c>
      <c r="C15" s="9">
        <f>-'Fane 4.2. Gen. krav - anlæg'!G47</f>
        <v>-388009.27507161722</v>
      </c>
      <c r="D15" s="8" t="s">
        <v>3</v>
      </c>
      <c r="E15" s="1"/>
    </row>
    <row r="16" spans="1:5" ht="15" customHeight="1" x14ac:dyDescent="0.25">
      <c r="A16" s="1"/>
      <c r="B16" s="56" t="s">
        <v>20</v>
      </c>
      <c r="C16" s="10">
        <f>SUM(C9:C15)</f>
        <v>56946991.093617305</v>
      </c>
      <c r="D16" s="11" t="s">
        <v>3</v>
      </c>
      <c r="E16" s="1"/>
    </row>
    <row r="17" spans="1:5" ht="15" customHeight="1" x14ac:dyDescent="0.25">
      <c r="A17" s="1"/>
      <c r="B17" s="49" t="s">
        <v>12</v>
      </c>
      <c r="C17" s="50"/>
      <c r="D17" s="20"/>
      <c r="E17" s="1"/>
    </row>
    <row r="18" spans="1:5" ht="15" customHeight="1" x14ac:dyDescent="0.25">
      <c r="A18" s="1"/>
      <c r="B18" s="51" t="s">
        <v>12</v>
      </c>
      <c r="C18" s="10">
        <f>'Fane 6. Ikke-påvirkelige omk.'!C16*(1+'Fane 12. Nøgletal'!C14)</f>
        <v>53264672.996340021</v>
      </c>
      <c r="D18" s="11" t="s">
        <v>3</v>
      </c>
      <c r="E18" s="1"/>
    </row>
    <row r="19" spans="1:5" ht="15" customHeight="1" x14ac:dyDescent="0.25">
      <c r="A19" s="1"/>
      <c r="B19" s="49" t="s">
        <v>92</v>
      </c>
      <c r="C19" s="50"/>
      <c r="D19" s="20"/>
      <c r="E19" s="1"/>
    </row>
    <row r="20" spans="1:5" ht="15" customHeight="1" x14ac:dyDescent="0.25">
      <c r="A20" s="1"/>
      <c r="B20" s="55" t="s">
        <v>88</v>
      </c>
      <c r="C20" s="9">
        <f>'Fane 9.2. Engangstillæg'!C22</f>
        <v>0</v>
      </c>
      <c r="D20" s="8" t="s">
        <v>3</v>
      </c>
      <c r="E20" s="1"/>
    </row>
    <row r="21" spans="1:5" x14ac:dyDescent="0.25">
      <c r="A21" s="1"/>
      <c r="B21" s="55" t="s">
        <v>89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7" t="s">
        <v>93</v>
      </c>
      <c r="C22" s="10">
        <f>SUM(C20:C21)</f>
        <v>0</v>
      </c>
      <c r="D22" s="11" t="s">
        <v>3</v>
      </c>
      <c r="E22" s="1"/>
    </row>
    <row r="23" spans="1:5" ht="15" customHeight="1" x14ac:dyDescent="0.25">
      <c r="A23" s="1"/>
      <c r="B23" s="34" t="s">
        <v>175</v>
      </c>
      <c r="C23" s="50"/>
      <c r="D23" s="20"/>
      <c r="E23" s="1"/>
    </row>
    <row r="24" spans="1:5" ht="15" customHeight="1" x14ac:dyDescent="0.25">
      <c r="A24" s="1"/>
      <c r="B24" s="66" t="s">
        <v>176</v>
      </c>
      <c r="C24" s="10">
        <f>'Fane 7. Kontrol af ØR2020'!E37</f>
        <v>-3263704.400923796</v>
      </c>
      <c r="D24" s="11" t="s">
        <v>3</v>
      </c>
      <c r="E24" s="1"/>
    </row>
    <row r="25" spans="1:5" x14ac:dyDescent="0.25">
      <c r="A25" s="1"/>
      <c r="B25" s="34" t="s">
        <v>228</v>
      </c>
      <c r="C25" s="50"/>
      <c r="D25" s="20"/>
      <c r="E25" s="1"/>
    </row>
    <row r="26" spans="1:5" x14ac:dyDescent="0.25">
      <c r="A26" s="1"/>
      <c r="B26" s="66" t="s">
        <v>229</v>
      </c>
      <c r="C26" s="10">
        <v>0</v>
      </c>
      <c r="D26" s="11" t="s">
        <v>3</v>
      </c>
      <c r="E26" s="1"/>
    </row>
    <row r="27" spans="1:5" x14ac:dyDescent="0.25">
      <c r="A27" s="1"/>
      <c r="B27" s="49" t="s">
        <v>100</v>
      </c>
      <c r="C27" s="12">
        <f>SUM(C16,C18,C22,C24,C26)</f>
        <v>106947959.68903354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dDTUblKpjPJQV/966C4PHq7Az5sn4tcSIv9HSqop2CuIhIleeaVaz41GAr5Lcpikl729At9PAT1D9uDdIOpCiA==" saltValue="d1VoyNvENauFL3Pc66Cs4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196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9" t="s">
        <v>13</v>
      </c>
      <c r="C7" s="50"/>
      <c r="D7" s="20"/>
      <c r="E7" s="1"/>
    </row>
    <row r="8" spans="1:5" ht="15" customHeight="1" x14ac:dyDescent="0.25">
      <c r="A8" s="1"/>
      <c r="B8" s="54" t="s">
        <v>198</v>
      </c>
      <c r="C8" s="7">
        <f>'Fane 2.2. Økonomisk ramme 2023'!C16</f>
        <v>56946991.093617305</v>
      </c>
      <c r="D8" s="8" t="s">
        <v>3</v>
      </c>
      <c r="E8" s="1"/>
    </row>
    <row r="9" spans="1:5" ht="15" customHeight="1" x14ac:dyDescent="0.25">
      <c r="A9" s="1"/>
      <c r="B9" s="54" t="s">
        <v>28</v>
      </c>
      <c r="C9" s="7">
        <f>-'Fane 11. Bortfald'!C24</f>
        <v>0</v>
      </c>
      <c r="D9" s="8" t="s">
        <v>3</v>
      </c>
      <c r="E9" s="1"/>
    </row>
    <row r="10" spans="1:5" ht="15" customHeight="1" x14ac:dyDescent="0.25">
      <c r="A10" s="1"/>
      <c r="B10" s="54" t="s">
        <v>27</v>
      </c>
      <c r="C10" s="7">
        <f>-'Fane 11. Bortfald'!E24</f>
        <v>0</v>
      </c>
      <c r="D10" s="8" t="s">
        <v>3</v>
      </c>
      <c r="E10" s="1"/>
    </row>
    <row r="11" spans="1:5" ht="15" customHeight="1" x14ac:dyDescent="0.25">
      <c r="A11" s="1"/>
      <c r="B11" s="48" t="s">
        <v>18</v>
      </c>
      <c r="C11" s="9">
        <f>SUM(C8:C10)*'Fane 12. Nøgletal'!C14</f>
        <v>187925.07060893709</v>
      </c>
      <c r="D11" s="8" t="s">
        <v>3</v>
      </c>
      <c r="E11" s="1"/>
    </row>
    <row r="12" spans="1:5" ht="15" customHeight="1" x14ac:dyDescent="0.25">
      <c r="A12" s="1"/>
      <c r="B12" s="48" t="s">
        <v>9</v>
      </c>
      <c r="C12" s="9">
        <f>-SUM(C8,C9:C11)*'Fane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8" t="s">
        <v>25</v>
      </c>
      <c r="C13" s="9">
        <f>-'Fane 4.1. Gen. krav - drift'!G55</f>
        <v>-624415.79181455111</v>
      </c>
      <c r="D13" s="8" t="s">
        <v>3</v>
      </c>
      <c r="E13" s="1"/>
    </row>
    <row r="14" spans="1:5" ht="15" customHeight="1" x14ac:dyDescent="0.25">
      <c r="A14" s="1"/>
      <c r="B14" s="48" t="s">
        <v>26</v>
      </c>
      <c r="C14" s="9">
        <f>-'Fane 4.2. Gen. krav - anlæg'!G54</f>
        <v>-383528.21803529916</v>
      </c>
      <c r="D14" s="8" t="s">
        <v>3</v>
      </c>
      <c r="E14" s="1"/>
    </row>
    <row r="15" spans="1:5" x14ac:dyDescent="0.25">
      <c r="A15" s="1"/>
      <c r="B15" s="56" t="s">
        <v>20</v>
      </c>
      <c r="C15" s="10">
        <f>SUM(C8,C9:C14)</f>
        <v>56126972.154376395</v>
      </c>
      <c r="D15" s="11" t="s">
        <v>3</v>
      </c>
      <c r="E15" s="1"/>
    </row>
    <row r="16" spans="1:5" x14ac:dyDescent="0.25">
      <c r="A16" s="1"/>
      <c r="B16" s="49" t="s">
        <v>12</v>
      </c>
      <c r="C16" s="50"/>
      <c r="D16" s="20"/>
      <c r="E16" s="1"/>
    </row>
    <row r="17" spans="1:5" ht="15" customHeight="1" x14ac:dyDescent="0.25">
      <c r="A17" s="1"/>
      <c r="B17" s="51" t="s">
        <v>12</v>
      </c>
      <c r="C17" s="10">
        <f>'Fane 6. Ikke-påvirkelige omk.'!C16*(1+'Fane 12. Nøgletal'!C14)^2</f>
        <v>53440446.417227946</v>
      </c>
      <c r="D17" s="11" t="s">
        <v>3</v>
      </c>
      <c r="E17" s="1"/>
    </row>
    <row r="18" spans="1:5" ht="15" customHeight="1" x14ac:dyDescent="0.25">
      <c r="A18" s="1"/>
      <c r="B18" s="49" t="s">
        <v>92</v>
      </c>
      <c r="C18" s="50"/>
      <c r="D18" s="20"/>
      <c r="E18" s="1"/>
    </row>
    <row r="19" spans="1:5" ht="15" customHeight="1" x14ac:dyDescent="0.25">
      <c r="A19" s="1"/>
      <c r="B19" s="55" t="s">
        <v>88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55" t="s">
        <v>89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7" t="s">
        <v>93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4" t="s">
        <v>175</v>
      </c>
      <c r="C22" s="50"/>
      <c r="D22" s="20"/>
      <c r="E22" s="1"/>
    </row>
    <row r="23" spans="1:5" ht="15" customHeight="1" x14ac:dyDescent="0.25">
      <c r="A23" s="1"/>
      <c r="B23" s="66" t="s">
        <v>176</v>
      </c>
      <c r="C23" s="10">
        <f>'Fane 7. Kontrol af ØR2020'!E37</f>
        <v>-3263704.400923796</v>
      </c>
      <c r="D23" s="11" t="s">
        <v>3</v>
      </c>
      <c r="E23" s="1"/>
    </row>
    <row r="24" spans="1:5" x14ac:dyDescent="0.25">
      <c r="A24" s="1"/>
      <c r="B24" s="34" t="s">
        <v>228</v>
      </c>
      <c r="C24" s="50"/>
      <c r="D24" s="20"/>
      <c r="E24" s="1"/>
    </row>
    <row r="25" spans="1:5" x14ac:dyDescent="0.25">
      <c r="A25" s="1"/>
      <c r="B25" s="66" t="s">
        <v>229</v>
      </c>
      <c r="C25" s="10">
        <v>0</v>
      </c>
      <c r="D25" s="11" t="s">
        <v>3</v>
      </c>
      <c r="E25" s="1"/>
    </row>
    <row r="26" spans="1:5" x14ac:dyDescent="0.25">
      <c r="A26" s="1"/>
      <c r="B26" s="49" t="s">
        <v>143</v>
      </c>
      <c r="C26" s="12">
        <f>SUM(C15,C17,C21,C23,C25)</f>
        <v>106303714.17068055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1rD8JXopHCsJliT9oW0Jr1a/7RZizU6XXO88UFztequJSXEd+7frWNRCCRp9jlLXqFrsrYxsbCIKwpwp+HRhiQ==" saltValue="gj2tdjYLYYuAjvGMqz9sF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199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9" t="s">
        <v>13</v>
      </c>
      <c r="C7" s="50"/>
      <c r="D7" s="20"/>
      <c r="E7" s="1"/>
    </row>
    <row r="8" spans="1:5" ht="15" customHeight="1" x14ac:dyDescent="0.25">
      <c r="A8" s="1"/>
      <c r="B8" s="54" t="s">
        <v>142</v>
      </c>
      <c r="C8" s="7">
        <f>'Fane 2.3. Økonomisk ramme 2024'!C15</f>
        <v>56126972.154376395</v>
      </c>
      <c r="D8" s="8" t="s">
        <v>3</v>
      </c>
      <c r="E8" s="1"/>
    </row>
    <row r="9" spans="1:5" ht="15" customHeight="1" x14ac:dyDescent="0.25">
      <c r="A9" s="1"/>
      <c r="B9" s="54" t="s">
        <v>28</v>
      </c>
      <c r="C9" s="7">
        <f>-'Fane 11. Bortfald'!C30</f>
        <v>0</v>
      </c>
      <c r="D9" s="8" t="s">
        <v>3</v>
      </c>
      <c r="E9" s="1"/>
    </row>
    <row r="10" spans="1:5" ht="15" customHeight="1" x14ac:dyDescent="0.25">
      <c r="A10" s="1"/>
      <c r="B10" s="54" t="s">
        <v>27</v>
      </c>
      <c r="C10" s="7">
        <f>-'Fane 11. Bortfald'!E30</f>
        <v>0</v>
      </c>
      <c r="D10" s="8" t="s">
        <v>3</v>
      </c>
      <c r="E10" s="1"/>
    </row>
    <row r="11" spans="1:5" ht="15" customHeight="1" x14ac:dyDescent="0.25">
      <c r="A11" s="1"/>
      <c r="B11" s="48" t="s">
        <v>18</v>
      </c>
      <c r="C11" s="9">
        <f>SUM(C8:C10)*'Fane 12. Nøgletal'!C14</f>
        <v>185219.0081094421</v>
      </c>
      <c r="D11" s="8" t="s">
        <v>3</v>
      </c>
      <c r="E11" s="1"/>
    </row>
    <row r="12" spans="1:5" ht="15" customHeight="1" x14ac:dyDescent="0.25">
      <c r="A12" s="1"/>
      <c r="B12" s="48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8" t="s">
        <v>25</v>
      </c>
      <c r="C13" s="9">
        <f>-'Fane 4.1. Gen. krav - drift'!G61</f>
        <v>-613946.83664898842</v>
      </c>
      <c r="D13" s="8" t="s">
        <v>3</v>
      </c>
      <c r="E13" s="1"/>
    </row>
    <row r="14" spans="1:5" ht="15" customHeight="1" x14ac:dyDescent="0.25">
      <c r="A14" s="1"/>
      <c r="B14" s="48" t="s">
        <v>26</v>
      </c>
      <c r="C14" s="9">
        <f>-'Fane 4.2. Gen. krav - anlæg'!G60</f>
        <v>-379098.91200972442</v>
      </c>
      <c r="D14" s="8" t="s">
        <v>3</v>
      </c>
      <c r="E14" s="1"/>
    </row>
    <row r="15" spans="1:5" x14ac:dyDescent="0.25">
      <c r="A15" s="1"/>
      <c r="B15" s="56" t="s">
        <v>20</v>
      </c>
      <c r="C15" s="10">
        <f>SUM(C8:C14)</f>
        <v>55319145.413827129</v>
      </c>
      <c r="D15" s="11" t="s">
        <v>3</v>
      </c>
      <c r="E15" s="1"/>
    </row>
    <row r="16" spans="1:5" x14ac:dyDescent="0.25">
      <c r="A16" s="1"/>
      <c r="B16" s="49" t="s">
        <v>12</v>
      </c>
      <c r="C16" s="50"/>
      <c r="D16" s="20"/>
      <c r="E16" s="1"/>
    </row>
    <row r="17" spans="1:5" ht="15" customHeight="1" x14ac:dyDescent="0.25">
      <c r="A17" s="1"/>
      <c r="B17" s="51" t="s">
        <v>12</v>
      </c>
      <c r="C17" s="10">
        <f>'Fane 6. Ikke-påvirkelige omk.'!C16*(1+'Fane 12. Nøgletal'!C14)^3</f>
        <v>53616799.890404806</v>
      </c>
      <c r="D17" s="11" t="s">
        <v>3</v>
      </c>
      <c r="E17" s="1"/>
    </row>
    <row r="18" spans="1:5" ht="15" customHeight="1" x14ac:dyDescent="0.25">
      <c r="A18" s="1"/>
      <c r="B18" s="49" t="s">
        <v>92</v>
      </c>
      <c r="C18" s="50"/>
      <c r="D18" s="20"/>
      <c r="E18" s="1"/>
    </row>
    <row r="19" spans="1:5" ht="15" customHeight="1" x14ac:dyDescent="0.25">
      <c r="A19" s="1"/>
      <c r="B19" s="55" t="s">
        <v>88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55" t="s">
        <v>89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7" t="s">
        <v>93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4" t="s">
        <v>175</v>
      </c>
      <c r="C22" s="50"/>
      <c r="D22" s="20"/>
      <c r="E22" s="1"/>
    </row>
    <row r="23" spans="1:5" ht="15" customHeight="1" x14ac:dyDescent="0.25">
      <c r="A23" s="1"/>
      <c r="B23" s="66" t="s">
        <v>176</v>
      </c>
      <c r="C23" s="10">
        <f>'Fane 7. Kontrol af ØR2020'!E37</f>
        <v>-3263704.400923796</v>
      </c>
      <c r="D23" s="11" t="s">
        <v>3</v>
      </c>
      <c r="E23" s="1"/>
    </row>
    <row r="24" spans="1:5" x14ac:dyDescent="0.25">
      <c r="A24" s="1"/>
      <c r="B24" s="34" t="s">
        <v>228</v>
      </c>
      <c r="C24" s="50"/>
      <c r="D24" s="20"/>
      <c r="E24" s="1"/>
    </row>
    <row r="25" spans="1:5" x14ac:dyDescent="0.25">
      <c r="A25" s="1"/>
      <c r="B25" s="66" t="s">
        <v>229</v>
      </c>
      <c r="C25" s="10">
        <v>0</v>
      </c>
      <c r="D25" s="11" t="s">
        <v>3</v>
      </c>
      <c r="E25" s="1"/>
    </row>
    <row r="26" spans="1:5" x14ac:dyDescent="0.25">
      <c r="A26" s="1"/>
      <c r="B26" s="49" t="s">
        <v>200</v>
      </c>
      <c r="C26" s="12">
        <f>SUM(C15,C17,C21,C23,C25)</f>
        <v>105672240.90330815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jcuHGb8j+yFx8hXg+AFIPLCGy5o/NKpf9Lm1KaYYqyJYCLJModF5TkEqFs9lBGSZSXKxR8DRs0f98sLQQAYU2Q==" saltValue="WGPFSN152idVHbu1QjAn4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.855468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8" t="s">
        <v>201</v>
      </c>
      <c r="C3" s="98"/>
      <c r="D3" s="98"/>
      <c r="E3" s="98"/>
      <c r="F3" s="98"/>
      <c r="G3" s="1"/>
    </row>
    <row r="4" spans="1:7" ht="29.25" customHeight="1" x14ac:dyDescent="0.25">
      <c r="A4" s="1"/>
      <c r="B4" s="98"/>
      <c r="C4" s="98"/>
      <c r="D4" s="98"/>
      <c r="E4" s="98"/>
      <c r="F4" s="9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9" t="s">
        <v>202</v>
      </c>
      <c r="C8" s="50"/>
      <c r="D8" s="50"/>
      <c r="E8" s="50"/>
      <c r="F8" s="20"/>
      <c r="G8" s="1"/>
    </row>
    <row r="9" spans="1:7" x14ac:dyDescent="0.25">
      <c r="A9" s="1"/>
      <c r="B9" s="99" t="s">
        <v>23</v>
      </c>
      <c r="C9" s="100"/>
      <c r="D9" s="101"/>
      <c r="E9" s="7">
        <v>52081281.87720672</v>
      </c>
      <c r="F9" s="8" t="s">
        <v>3</v>
      </c>
      <c r="G9" s="1"/>
    </row>
    <row r="10" spans="1:7" s="38" customFormat="1" x14ac:dyDescent="0.25">
      <c r="A10" s="37"/>
      <c r="B10" s="102" t="s">
        <v>152</v>
      </c>
      <c r="C10" s="103"/>
      <c r="D10" s="104"/>
      <c r="E10" s="42">
        <v>-8435513.4200446885</v>
      </c>
      <c r="F10" s="8" t="s">
        <v>3</v>
      </c>
      <c r="G10" s="37"/>
    </row>
    <row r="11" spans="1:7" s="38" customFormat="1" x14ac:dyDescent="0.25">
      <c r="A11" s="37"/>
      <c r="B11" s="102" t="s">
        <v>153</v>
      </c>
      <c r="C11" s="103"/>
      <c r="D11" s="104"/>
      <c r="E11" s="42">
        <v>0</v>
      </c>
      <c r="F11" s="8" t="s">
        <v>3</v>
      </c>
      <c r="G11" s="37"/>
    </row>
    <row r="12" spans="1:7" ht="15" customHeight="1" x14ac:dyDescent="0.25">
      <c r="A12" s="1"/>
      <c r="B12" s="90" t="s">
        <v>39</v>
      </c>
      <c r="C12" s="91"/>
      <c r="D12" s="92"/>
      <c r="E12" s="7">
        <v>2033970.351</v>
      </c>
      <c r="F12" s="8" t="s">
        <v>3</v>
      </c>
      <c r="G12" s="1"/>
    </row>
    <row r="13" spans="1:7" ht="15" customHeight="1" x14ac:dyDescent="0.25">
      <c r="A13" s="1"/>
      <c r="B13" s="90" t="s">
        <v>40</v>
      </c>
      <c r="C13" s="91"/>
      <c r="D13" s="92"/>
      <c r="E13" s="9">
        <v>2599384.2588</v>
      </c>
      <c r="F13" s="8" t="s">
        <v>3</v>
      </c>
      <c r="G13" s="1"/>
    </row>
    <row r="14" spans="1:7" x14ac:dyDescent="0.25">
      <c r="A14" s="1"/>
      <c r="B14" s="90" t="s">
        <v>28</v>
      </c>
      <c r="C14" s="91"/>
      <c r="D14" s="92"/>
      <c r="E14" s="9">
        <v>0</v>
      </c>
      <c r="F14" s="8" t="s">
        <v>3</v>
      </c>
      <c r="G14" s="1"/>
    </row>
    <row r="15" spans="1:7" x14ac:dyDescent="0.25">
      <c r="A15" s="1"/>
      <c r="B15" s="90" t="s">
        <v>27</v>
      </c>
      <c r="C15" s="91"/>
      <c r="D15" s="92"/>
      <c r="E15" s="9">
        <v>0</v>
      </c>
      <c r="F15" s="8" t="s">
        <v>3</v>
      </c>
      <c r="G15" s="1"/>
    </row>
    <row r="16" spans="1:7" x14ac:dyDescent="0.25">
      <c r="A16" s="1"/>
      <c r="B16" s="90" t="s">
        <v>139</v>
      </c>
      <c r="C16" s="91"/>
      <c r="D16" s="92"/>
      <c r="E16" s="9">
        <v>0</v>
      </c>
      <c r="F16" s="8" t="s">
        <v>3</v>
      </c>
      <c r="G16" s="1"/>
    </row>
    <row r="17" spans="1:7" x14ac:dyDescent="0.25">
      <c r="A17" s="1"/>
      <c r="B17" s="90" t="s">
        <v>140</v>
      </c>
      <c r="C17" s="91"/>
      <c r="D17" s="92"/>
      <c r="E17" s="9">
        <v>0</v>
      </c>
      <c r="F17" s="8" t="s">
        <v>3</v>
      </c>
      <c r="G17" s="1"/>
    </row>
    <row r="18" spans="1:7" x14ac:dyDescent="0.25">
      <c r="A18" s="1"/>
      <c r="B18" s="90" t="s">
        <v>18</v>
      </c>
      <c r="C18" s="91"/>
      <c r="D18" s="92"/>
      <c r="E18" s="9">
        <v>913081.15238822845</v>
      </c>
      <c r="F18" s="8" t="s">
        <v>3</v>
      </c>
      <c r="G18" s="1"/>
    </row>
    <row r="19" spans="1:7" x14ac:dyDescent="0.25">
      <c r="A19" s="1"/>
      <c r="B19" s="90" t="s">
        <v>9</v>
      </c>
      <c r="C19" s="91"/>
      <c r="D19" s="92"/>
      <c r="E19" s="9">
        <v>0</v>
      </c>
      <c r="F19" s="8" t="s">
        <v>3</v>
      </c>
      <c r="G19" s="1"/>
    </row>
    <row r="20" spans="1:7" x14ac:dyDescent="0.25">
      <c r="A20" s="1"/>
      <c r="B20" s="90" t="s">
        <v>25</v>
      </c>
      <c r="C20" s="91"/>
      <c r="D20" s="92"/>
      <c r="E20" s="9">
        <v>-639900.17849321594</v>
      </c>
      <c r="F20" s="8" t="s">
        <v>3</v>
      </c>
      <c r="G20" s="1"/>
    </row>
    <row r="21" spans="1:7" x14ac:dyDescent="0.25">
      <c r="A21" s="1"/>
      <c r="B21" s="90" t="s">
        <v>26</v>
      </c>
      <c r="C21" s="91"/>
      <c r="D21" s="92"/>
      <c r="E21" s="9">
        <v>-272468.69350964576</v>
      </c>
      <c r="F21" s="8" t="s">
        <v>3</v>
      </c>
      <c r="G21" s="1"/>
    </row>
    <row r="22" spans="1:7" x14ac:dyDescent="0.25">
      <c r="A22" s="1"/>
      <c r="B22" s="108" t="s">
        <v>20</v>
      </c>
      <c r="C22" s="109"/>
      <c r="D22" s="110"/>
      <c r="E22" s="10">
        <f>SUM(E9,E12:E21)</f>
        <v>56715348.767392091</v>
      </c>
      <c r="F22" s="11" t="s">
        <v>3</v>
      </c>
      <c r="G22" s="1"/>
    </row>
    <row r="23" spans="1:7" x14ac:dyDescent="0.25">
      <c r="A23" s="1"/>
      <c r="B23" s="93" t="s">
        <v>12</v>
      </c>
      <c r="C23" s="94"/>
      <c r="D23" s="94"/>
      <c r="E23" s="50"/>
      <c r="F23" s="20"/>
      <c r="G23" s="1"/>
    </row>
    <row r="24" spans="1:7" x14ac:dyDescent="0.25">
      <c r="A24" s="1"/>
      <c r="B24" s="95" t="s">
        <v>12</v>
      </c>
      <c r="C24" s="96"/>
      <c r="D24" s="97"/>
      <c r="E24" s="10">
        <v>111862778.109579</v>
      </c>
      <c r="F24" s="11" t="s">
        <v>3</v>
      </c>
      <c r="G24" s="1"/>
    </row>
    <row r="25" spans="1:7" x14ac:dyDescent="0.25">
      <c r="A25" s="1"/>
      <c r="B25" s="49" t="s">
        <v>92</v>
      </c>
      <c r="C25" s="50"/>
      <c r="D25" s="50"/>
      <c r="E25" s="50"/>
      <c r="F25" s="20"/>
      <c r="G25" s="1"/>
    </row>
    <row r="26" spans="1:7" ht="15" customHeight="1" x14ac:dyDescent="0.25">
      <c r="A26" s="1"/>
      <c r="B26" s="102" t="s">
        <v>88</v>
      </c>
      <c r="C26" s="103"/>
      <c r="D26" s="104"/>
      <c r="E26" s="9">
        <v>0</v>
      </c>
      <c r="F26" s="8" t="s">
        <v>3</v>
      </c>
      <c r="G26" s="1"/>
    </row>
    <row r="27" spans="1:7" x14ac:dyDescent="0.25">
      <c r="A27" s="1"/>
      <c r="B27" s="102" t="s">
        <v>89</v>
      </c>
      <c r="C27" s="103"/>
      <c r="D27" s="104"/>
      <c r="E27" s="9">
        <v>0</v>
      </c>
      <c r="F27" s="8" t="s">
        <v>3</v>
      </c>
      <c r="G27" s="1"/>
    </row>
    <row r="28" spans="1:7" x14ac:dyDescent="0.25">
      <c r="A28" s="1"/>
      <c r="B28" s="111" t="s">
        <v>93</v>
      </c>
      <c r="C28" s="112"/>
      <c r="D28" s="112"/>
      <c r="E28" s="10">
        <v>0</v>
      </c>
      <c r="F28" s="10" t="s">
        <v>3</v>
      </c>
      <c r="G28" s="1"/>
    </row>
    <row r="29" spans="1:7" x14ac:dyDescent="0.25">
      <c r="A29" s="1"/>
      <c r="B29" s="49" t="s">
        <v>175</v>
      </c>
      <c r="C29" s="50"/>
      <c r="D29" s="50"/>
      <c r="E29" s="50"/>
      <c r="F29" s="20"/>
      <c r="G29" s="1"/>
    </row>
    <row r="30" spans="1:7" x14ac:dyDescent="0.25">
      <c r="A30" s="1"/>
      <c r="B30" s="111" t="s">
        <v>176</v>
      </c>
      <c r="C30" s="112"/>
      <c r="D30" s="112"/>
      <c r="E30" s="10">
        <v>1396182.592852656</v>
      </c>
      <c r="F30" s="10" t="s">
        <v>3</v>
      </c>
      <c r="G30" s="1"/>
    </row>
    <row r="31" spans="1:7" x14ac:dyDescent="0.25">
      <c r="A31" s="1"/>
      <c r="B31" s="93" t="s">
        <v>255</v>
      </c>
      <c r="C31" s="94"/>
      <c r="D31" s="94"/>
      <c r="E31" s="50"/>
      <c r="F31" s="20"/>
      <c r="G31" s="1"/>
    </row>
    <row r="32" spans="1:7" ht="15.6" customHeight="1" x14ac:dyDescent="0.25">
      <c r="A32" s="1"/>
      <c r="B32" s="95" t="s">
        <v>256</v>
      </c>
      <c r="C32" s="96"/>
      <c r="D32" s="97"/>
      <c r="E32" s="10">
        <v>0</v>
      </c>
      <c r="F32" s="11" t="s">
        <v>3</v>
      </c>
      <c r="G32" s="1"/>
    </row>
    <row r="33" spans="1:7" ht="15.6" customHeight="1" x14ac:dyDescent="0.25">
      <c r="A33" s="1"/>
      <c r="B33" s="49" t="s">
        <v>29</v>
      </c>
      <c r="C33" s="50"/>
      <c r="D33" s="50"/>
      <c r="E33" s="12">
        <f>SUM(E22,E24,E28,E30,E32)</f>
        <v>169974309.46982375</v>
      </c>
      <c r="F33" s="13" t="s">
        <v>3</v>
      </c>
      <c r="G33" s="1"/>
    </row>
    <row r="34" spans="1:7" ht="27.75" customHeight="1" x14ac:dyDescent="0.25">
      <c r="A34" s="1"/>
      <c r="B34" s="105" t="s">
        <v>203</v>
      </c>
      <c r="C34" s="106"/>
      <c r="D34" s="106"/>
      <c r="E34" s="106"/>
      <c r="F34" s="107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SKC+evQm7+TLCjGiX0y5WJ9AEpq2k9qeEIanb8c7MxpJgymlo1KjgJMbhwdn0camg/rsamUaujNoN1dOamxZXw==" saltValue="biD1Gi3BiwYyz5+FsZQwHw==" spinCount="100000" sheet="1" objects="1" scenarios="1"/>
  <mergeCells count="24">
    <mergeCell ref="B34:F34"/>
    <mergeCell ref="B18:D18"/>
    <mergeCell ref="B19:D19"/>
    <mergeCell ref="B20:D20"/>
    <mergeCell ref="B21:D21"/>
    <mergeCell ref="B22:D22"/>
    <mergeCell ref="B27:D27"/>
    <mergeCell ref="B28:D28"/>
    <mergeCell ref="B30:D30"/>
    <mergeCell ref="B26:D26"/>
    <mergeCell ref="B31:D31"/>
    <mergeCell ref="B32:D32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1.42578125" style="2" bestFit="1" customWidth="1"/>
    <col min="8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98" t="s">
        <v>118</v>
      </c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8"/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19" t="s">
        <v>53</v>
      </c>
      <c r="C5" s="120"/>
      <c r="D5" s="120"/>
      <c r="E5" s="120"/>
      <c r="F5" s="120"/>
      <c r="G5" s="120"/>
      <c r="H5" s="121"/>
      <c r="I5" s="1"/>
    </row>
    <row r="6" spans="1:9" x14ac:dyDescent="0.25">
      <c r="A6" s="1"/>
      <c r="B6" s="118" t="s">
        <v>42</v>
      </c>
      <c r="C6" s="116"/>
      <c r="D6" s="116"/>
      <c r="E6" s="116"/>
      <c r="F6" s="117"/>
      <c r="G6" s="24">
        <v>39234523.653842919</v>
      </c>
      <c r="H6" s="14" t="s">
        <v>3</v>
      </c>
      <c r="I6" s="1"/>
    </row>
    <row r="7" spans="1:9" x14ac:dyDescent="0.25">
      <c r="A7" s="1"/>
      <c r="B7" s="118" t="s">
        <v>43</v>
      </c>
      <c r="C7" s="116"/>
      <c r="D7" s="116"/>
      <c r="E7" s="116"/>
      <c r="F7" s="117"/>
      <c r="G7" s="24">
        <f>G6*'Fane 12. Nøgletal'!C29</f>
        <v>784690.47307685844</v>
      </c>
      <c r="H7" s="14" t="s">
        <v>3</v>
      </c>
      <c r="I7" s="1"/>
    </row>
    <row r="8" spans="1:9" x14ac:dyDescent="0.25">
      <c r="A8" s="1"/>
      <c r="B8" s="49"/>
      <c r="C8" s="50"/>
      <c r="D8" s="50"/>
      <c r="E8" s="50"/>
      <c r="F8" s="50"/>
      <c r="G8" s="50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19" t="s">
        <v>54</v>
      </c>
      <c r="C10" s="120"/>
      <c r="D10" s="120"/>
      <c r="E10" s="120"/>
      <c r="F10" s="120"/>
      <c r="G10" s="120"/>
      <c r="H10" s="121"/>
      <c r="I10" s="1"/>
    </row>
    <row r="11" spans="1:9" x14ac:dyDescent="0.25">
      <c r="A11" s="1"/>
      <c r="B11" s="118" t="s">
        <v>44</v>
      </c>
      <c r="C11" s="116"/>
      <c r="D11" s="116"/>
      <c r="E11" s="116"/>
      <c r="F11" s="117"/>
      <c r="G11" s="24">
        <f>(G6-G7)*(1+'Fane 12. Nøgletal'!C9)</f>
        <v>38938146.062161788</v>
      </c>
      <c r="H11" s="14" t="s">
        <v>3</v>
      </c>
      <c r="I11" s="1"/>
    </row>
    <row r="12" spans="1:9" x14ac:dyDescent="0.25">
      <c r="A12" s="1"/>
      <c r="B12" s="122" t="s">
        <v>45</v>
      </c>
      <c r="C12" s="123"/>
      <c r="D12" s="123"/>
      <c r="E12" s="123"/>
      <c r="F12" s="124"/>
      <c r="G12" s="47">
        <v>0</v>
      </c>
      <c r="H12" s="14" t="s">
        <v>3</v>
      </c>
      <c r="I12" s="1"/>
    </row>
    <row r="13" spans="1:9" x14ac:dyDescent="0.25">
      <c r="A13" s="1"/>
      <c r="B13" s="118" t="s">
        <v>46</v>
      </c>
      <c r="C13" s="116"/>
      <c r="D13" s="116"/>
      <c r="E13" s="116"/>
      <c r="F13" s="117"/>
      <c r="G13" s="24">
        <f>(G11+G12)*'Fane 12. Nøgletal'!C29</f>
        <v>778762.92124323582</v>
      </c>
      <c r="H13" s="14" t="s">
        <v>3</v>
      </c>
      <c r="I13" s="1"/>
    </row>
    <row r="14" spans="1:9" x14ac:dyDescent="0.25">
      <c r="A14" s="1"/>
      <c r="B14" s="49"/>
      <c r="C14" s="50"/>
      <c r="D14" s="50"/>
      <c r="E14" s="50"/>
      <c r="F14" s="50"/>
      <c r="G14" s="50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19" t="s">
        <v>55</v>
      </c>
      <c r="C16" s="120"/>
      <c r="D16" s="120"/>
      <c r="E16" s="120"/>
      <c r="F16" s="120"/>
      <c r="G16" s="120"/>
      <c r="H16" s="121"/>
      <c r="I16" s="1"/>
    </row>
    <row r="17" spans="1:9" x14ac:dyDescent="0.25">
      <c r="A17" s="1"/>
      <c r="B17" s="118" t="s">
        <v>47</v>
      </c>
      <c r="C17" s="116"/>
      <c r="D17" s="116"/>
      <c r="E17" s="116"/>
      <c r="F17" s="117"/>
      <c r="G17" s="24">
        <f>(G11+G12-G13)*(1+'Fane 12. Nøgletal'!C11)</f>
        <v>38804276.716000073</v>
      </c>
      <c r="H17" s="14" t="s">
        <v>3</v>
      </c>
      <c r="I17" s="1"/>
    </row>
    <row r="18" spans="1:9" x14ac:dyDescent="0.25">
      <c r="A18" s="1"/>
      <c r="B18" s="118" t="s">
        <v>136</v>
      </c>
      <c r="C18" s="116"/>
      <c r="D18" s="116"/>
      <c r="E18" s="116"/>
      <c r="F18" s="117"/>
      <c r="G18" s="47">
        <v>0</v>
      </c>
      <c r="H18" s="14" t="s">
        <v>3</v>
      </c>
      <c r="I18" s="1"/>
    </row>
    <row r="19" spans="1:9" x14ac:dyDescent="0.25">
      <c r="A19" s="1"/>
      <c r="B19" s="122" t="s">
        <v>48</v>
      </c>
      <c r="C19" s="123"/>
      <c r="D19" s="123"/>
      <c r="E19" s="123"/>
      <c r="F19" s="124"/>
      <c r="G19" s="47">
        <v>0</v>
      </c>
      <c r="H19" s="14" t="s">
        <v>3</v>
      </c>
      <c r="I19" s="1"/>
    </row>
    <row r="20" spans="1:9" x14ac:dyDescent="0.25">
      <c r="A20" s="1"/>
      <c r="B20" s="118" t="s">
        <v>49</v>
      </c>
      <c r="C20" s="116"/>
      <c r="D20" s="116"/>
      <c r="E20" s="116"/>
      <c r="F20" s="117"/>
      <c r="G20" s="24">
        <f>SUM(G17:G19)*'Fane 12. Nøgletal'!C29</f>
        <v>776085.53432000149</v>
      </c>
      <c r="H20" s="14" t="s">
        <v>3</v>
      </c>
      <c r="I20" s="1"/>
    </row>
    <row r="21" spans="1:9" x14ac:dyDescent="0.25">
      <c r="A21" s="1"/>
      <c r="B21" s="49"/>
      <c r="C21" s="50"/>
      <c r="D21" s="50"/>
      <c r="E21" s="50"/>
      <c r="F21" s="50"/>
      <c r="G21" s="50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19" t="s">
        <v>56</v>
      </c>
      <c r="C23" s="120"/>
      <c r="D23" s="120"/>
      <c r="E23" s="120"/>
      <c r="F23" s="120"/>
      <c r="G23" s="120"/>
      <c r="H23" s="121"/>
      <c r="I23" s="1"/>
    </row>
    <row r="24" spans="1:9" x14ac:dyDescent="0.25">
      <c r="A24" s="1"/>
      <c r="B24" s="118" t="s">
        <v>50</v>
      </c>
      <c r="C24" s="116"/>
      <c r="D24" s="116"/>
      <c r="E24" s="116"/>
      <c r="F24" s="117"/>
      <c r="G24" s="24">
        <f>(G17+G18+G19-G20)*(1+'Fane 12. Nøgletal'!C11)</f>
        <v>38670867.612650461</v>
      </c>
      <c r="H24" s="14" t="s">
        <v>3</v>
      </c>
      <c r="I24" s="1"/>
    </row>
    <row r="25" spans="1:9" x14ac:dyDescent="0.25">
      <c r="A25" s="1"/>
      <c r="B25" s="122" t="s">
        <v>51</v>
      </c>
      <c r="C25" s="123"/>
      <c r="D25" s="123"/>
      <c r="E25" s="123"/>
      <c r="F25" s="124"/>
      <c r="G25" s="24">
        <v>-8607666.7551476415</v>
      </c>
      <c r="H25" s="14" t="s">
        <v>3</v>
      </c>
      <c r="I25" s="1"/>
    </row>
    <row r="26" spans="1:9" x14ac:dyDescent="0.25">
      <c r="A26" s="1"/>
      <c r="B26" s="118" t="s">
        <v>52</v>
      </c>
      <c r="C26" s="116"/>
      <c r="D26" s="116"/>
      <c r="E26" s="116"/>
      <c r="F26" s="117"/>
      <c r="G26" s="24">
        <f>(G24+G25)*'Fane 12. Nøgletal'!C29</f>
        <v>601264.01715005643</v>
      </c>
      <c r="H26" s="14" t="s">
        <v>3</v>
      </c>
      <c r="I26" s="1"/>
    </row>
    <row r="27" spans="1:9" x14ac:dyDescent="0.25">
      <c r="A27" s="1"/>
      <c r="B27" s="49"/>
      <c r="C27" s="50"/>
      <c r="D27" s="50"/>
      <c r="E27" s="50"/>
      <c r="F27" s="50"/>
      <c r="G27" s="50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19" t="s">
        <v>59</v>
      </c>
      <c r="C29" s="120"/>
      <c r="D29" s="120"/>
      <c r="E29" s="120"/>
      <c r="F29" s="120"/>
      <c r="G29" s="120"/>
      <c r="H29" s="121"/>
      <c r="I29" s="1"/>
    </row>
    <row r="30" spans="1:9" x14ac:dyDescent="0.25">
      <c r="A30" s="1"/>
      <c r="B30" s="118" t="s">
        <v>60</v>
      </c>
      <c r="C30" s="116"/>
      <c r="D30" s="116"/>
      <c r="E30" s="116"/>
      <c r="F30" s="117"/>
      <c r="G30" s="24">
        <f>G24*(1-'Fane 12. Nøgletal'!C29)*(1+'Fane 12. Nøgletal'!C11)+G25*(1-'Fane 12. Nøgletal'!C29)*(1+'Fane 12. Nøgletal'!C12)</f>
        <v>29936224.135378595</v>
      </c>
      <c r="H30" s="14" t="s">
        <v>3</v>
      </c>
      <c r="I30" s="1"/>
    </row>
    <row r="31" spans="1:9" x14ac:dyDescent="0.25">
      <c r="A31" s="1"/>
      <c r="B31" s="113" t="s">
        <v>132</v>
      </c>
      <c r="C31" s="114"/>
      <c r="D31" s="114"/>
      <c r="E31" s="114"/>
      <c r="F31" s="115"/>
      <c r="G31" s="24">
        <f>G25*(1-'Fane 12. Nøgletal'!C29)*(1+'Fane 12. Nøgletal'!C12)</f>
        <v>-8601693.0344195701</v>
      </c>
      <c r="H31" s="14" t="s">
        <v>3</v>
      </c>
      <c r="I31" s="1"/>
    </row>
    <row r="32" spans="1:9" x14ac:dyDescent="0.25">
      <c r="A32" s="1"/>
      <c r="B32" s="118" t="s">
        <v>159</v>
      </c>
      <c r="C32" s="116"/>
      <c r="D32" s="116"/>
      <c r="E32" s="116"/>
      <c r="F32" s="117"/>
      <c r="G32" s="24">
        <v>2058784.7892821999</v>
      </c>
      <c r="H32" s="14" t="s">
        <v>3</v>
      </c>
      <c r="I32" s="1"/>
    </row>
    <row r="33" spans="1:9" x14ac:dyDescent="0.25">
      <c r="A33" s="1"/>
      <c r="B33" s="118" t="s">
        <v>61</v>
      </c>
      <c r="C33" s="116"/>
      <c r="D33" s="116"/>
      <c r="E33" s="116"/>
      <c r="F33" s="117"/>
      <c r="G33" s="24">
        <f>(G30+G32)*'Fane 12. Nøgletal'!C29</f>
        <v>639900.17849321594</v>
      </c>
      <c r="H33" s="14" t="s">
        <v>3</v>
      </c>
      <c r="I33" s="1"/>
    </row>
    <row r="34" spans="1:9" x14ac:dyDescent="0.25">
      <c r="A34" s="1"/>
      <c r="B34" s="49"/>
      <c r="C34" s="50"/>
      <c r="D34" s="50"/>
      <c r="E34" s="50"/>
      <c r="F34" s="50"/>
      <c r="G34" s="50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19" t="s">
        <v>117</v>
      </c>
      <c r="C36" s="120"/>
      <c r="D36" s="120"/>
      <c r="E36" s="120"/>
      <c r="F36" s="120"/>
      <c r="G36" s="120"/>
      <c r="H36" s="121"/>
      <c r="I36" s="1"/>
    </row>
    <row r="37" spans="1:9" x14ac:dyDescent="0.25">
      <c r="A37" s="1"/>
      <c r="B37" s="118" t="s">
        <v>83</v>
      </c>
      <c r="C37" s="116"/>
      <c r="D37" s="116"/>
      <c r="E37" s="116"/>
      <c r="F37" s="117"/>
      <c r="G37" s="24">
        <f>(G30-G31)*(1-'Fane 12. Nøgletal'!C29)*(1+'Fane 12. Nøgletal'!C11)+G31*(1-'Fane 12. Nøgletal'!C29)*(1+'Fane 12. Nøgletal'!C12)+G32*(1-'Fane 12. Nøgletal'!C29)*(1+'Fane 12. Nøgletal'!C13)</f>
        <v>31851924.27555193</v>
      </c>
      <c r="H37" s="14" t="s">
        <v>3</v>
      </c>
      <c r="I37" s="1"/>
    </row>
    <row r="38" spans="1:9" x14ac:dyDescent="0.25">
      <c r="A38" s="1"/>
      <c r="B38" s="113" t="s">
        <v>132</v>
      </c>
      <c r="C38" s="114"/>
      <c r="D38" s="114"/>
      <c r="E38" s="114"/>
      <c r="F38" s="115"/>
      <c r="G38" s="24">
        <f>G31*(1-'Fane 12. Nøgletal'!C29)*(1+'Fane 12. Nøgletal'!C12)</f>
        <v>-8595723.4594536833</v>
      </c>
      <c r="H38" s="14" t="s">
        <v>3</v>
      </c>
      <c r="I38" s="1"/>
    </row>
    <row r="39" spans="1:9" x14ac:dyDescent="0.25">
      <c r="A39" s="1"/>
      <c r="B39" s="113" t="s">
        <v>165</v>
      </c>
      <c r="C39" s="116"/>
      <c r="D39" s="116"/>
      <c r="E39" s="116"/>
      <c r="F39" s="117"/>
      <c r="G39" s="24">
        <f>G32*(1-'Fane 12. Nøgletal'!C29)*(1+'Fane 12. Nøgletal'!C13)</f>
        <v>2042223.9244372139</v>
      </c>
      <c r="H39" s="14" t="s">
        <v>3</v>
      </c>
      <c r="I39" s="1"/>
    </row>
    <row r="40" spans="1:9" x14ac:dyDescent="0.25">
      <c r="A40" s="1"/>
      <c r="B40" s="118" t="s">
        <v>226</v>
      </c>
      <c r="C40" s="116"/>
      <c r="D40" s="116"/>
      <c r="E40" s="116"/>
      <c r="F40" s="117"/>
      <c r="G40" s="24">
        <f>SUM('Fane 2.1. Økonomisk ramme 2022'!C14,'Fane 2.1. Økonomisk ramme 2022'!C16,'Fane 2.1. Økonomisk ramme 2022'!C18)*(1+'Fane 12. Nøgletal'!C14)</f>
        <v>442690.35703687009</v>
      </c>
      <c r="H40" s="14" t="s">
        <v>3</v>
      </c>
      <c r="I40" s="1"/>
    </row>
    <row r="41" spans="1:9" x14ac:dyDescent="0.25">
      <c r="A41" s="1"/>
      <c r="B41" s="118" t="s">
        <v>133</v>
      </c>
      <c r="C41" s="116"/>
      <c r="D41" s="116"/>
      <c r="E41" s="116"/>
      <c r="F41" s="117"/>
      <c r="G41" s="24">
        <f>(G37+G40)*'Fane 12. Nøgletal'!C29</f>
        <v>645892.29265177599</v>
      </c>
      <c r="H41" s="14" t="s">
        <v>3</v>
      </c>
      <c r="I41" s="1"/>
    </row>
    <row r="42" spans="1:9" x14ac:dyDescent="0.25">
      <c r="A42" s="1"/>
      <c r="B42" s="49"/>
      <c r="C42" s="50"/>
      <c r="D42" s="50"/>
      <c r="E42" s="50"/>
      <c r="F42" s="50"/>
      <c r="G42" s="50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19" t="s">
        <v>84</v>
      </c>
      <c r="C44" s="120"/>
      <c r="D44" s="120"/>
      <c r="E44" s="120"/>
      <c r="F44" s="120"/>
      <c r="G44" s="120"/>
      <c r="H44" s="121"/>
      <c r="I44" s="1"/>
    </row>
    <row r="45" spans="1:9" x14ac:dyDescent="0.25">
      <c r="A45" s="1"/>
      <c r="B45" s="118" t="s">
        <v>82</v>
      </c>
      <c r="C45" s="116"/>
      <c r="D45" s="116"/>
      <c r="E45" s="116"/>
      <c r="F45" s="117"/>
      <c r="G45" s="24">
        <f>(G37+G40-G41)*(1+'Fane 12. Nøgletal'!C14)</f>
        <v>31753163.123658817</v>
      </c>
      <c r="H45" s="14" t="s">
        <v>3</v>
      </c>
      <c r="I45" s="1"/>
    </row>
    <row r="46" spans="1:9" x14ac:dyDescent="0.25">
      <c r="A46" s="1"/>
      <c r="B46" s="118" t="s">
        <v>95</v>
      </c>
      <c r="C46" s="116"/>
      <c r="D46" s="116"/>
      <c r="E46" s="116"/>
      <c r="F46" s="117"/>
      <c r="G46" s="47">
        <f>-'Fane 11. Bortfald'!C18*(1+'Fane 12. Nøgletal'!C14)</f>
        <v>0</v>
      </c>
      <c r="H46" s="14" t="s">
        <v>3</v>
      </c>
      <c r="I46" s="1"/>
    </row>
    <row r="47" spans="1:9" x14ac:dyDescent="0.25">
      <c r="A47" s="1"/>
      <c r="B47" s="118" t="s">
        <v>62</v>
      </c>
      <c r="C47" s="116"/>
      <c r="D47" s="116"/>
      <c r="E47" s="116"/>
      <c r="F47" s="117"/>
      <c r="G47" s="24">
        <f>(G45+G46)*'Fane 12. Nøgletal'!C29</f>
        <v>635063.26247317635</v>
      </c>
      <c r="H47" s="14" t="s">
        <v>3</v>
      </c>
      <c r="I47" s="1"/>
    </row>
    <row r="48" spans="1:9" x14ac:dyDescent="0.25">
      <c r="A48" s="1"/>
      <c r="B48" s="49"/>
      <c r="C48" s="50"/>
      <c r="D48" s="50"/>
      <c r="E48" s="50"/>
      <c r="F48" s="50"/>
      <c r="G48" s="50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19" t="s">
        <v>160</v>
      </c>
      <c r="C52" s="120"/>
      <c r="D52" s="120"/>
      <c r="E52" s="120"/>
      <c r="F52" s="120"/>
      <c r="G52" s="120"/>
      <c r="H52" s="121"/>
      <c r="I52" s="1"/>
    </row>
    <row r="53" spans="1:9" x14ac:dyDescent="0.25">
      <c r="A53" s="1"/>
      <c r="B53" s="118" t="s">
        <v>161</v>
      </c>
      <c r="C53" s="116"/>
      <c r="D53" s="116"/>
      <c r="E53" s="116"/>
      <c r="F53" s="117"/>
      <c r="G53" s="24">
        <f>(G45+G46-G47)*(1+'Fane 12. Nøgletal'!C14)</f>
        <v>31220789.590727556</v>
      </c>
      <c r="H53" s="14" t="s">
        <v>3</v>
      </c>
      <c r="I53" s="1"/>
    </row>
    <row r="54" spans="1:9" x14ac:dyDescent="0.25">
      <c r="A54" s="1"/>
      <c r="B54" s="118" t="s">
        <v>162</v>
      </c>
      <c r="C54" s="116"/>
      <c r="D54" s="116"/>
      <c r="E54" s="116"/>
      <c r="F54" s="117"/>
      <c r="G54" s="47">
        <f>-'Fane 11. Bortfald'!C24*(1+'Fane 12. Nøgletal'!C14)</f>
        <v>0</v>
      </c>
      <c r="H54" s="14" t="s">
        <v>3</v>
      </c>
      <c r="I54" s="1"/>
    </row>
    <row r="55" spans="1:9" x14ac:dyDescent="0.25">
      <c r="A55" s="1"/>
      <c r="B55" s="118" t="s">
        <v>163</v>
      </c>
      <c r="C55" s="116"/>
      <c r="D55" s="116"/>
      <c r="E55" s="116"/>
      <c r="F55" s="117"/>
      <c r="G55" s="24">
        <f>(G53+G54)*'Fane 12. Nøgletal'!C29</f>
        <v>624415.79181455111</v>
      </c>
      <c r="H55" s="14" t="s">
        <v>3</v>
      </c>
      <c r="I55" s="1"/>
    </row>
    <row r="56" spans="1:9" x14ac:dyDescent="0.25">
      <c r="A56" s="1"/>
      <c r="B56" s="49"/>
      <c r="C56" s="50"/>
      <c r="D56" s="50"/>
      <c r="E56" s="50"/>
      <c r="F56" s="50"/>
      <c r="G56" s="50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19" t="s">
        <v>204</v>
      </c>
      <c r="C58" s="120"/>
      <c r="D58" s="120"/>
      <c r="E58" s="120"/>
      <c r="F58" s="120"/>
      <c r="G58" s="120"/>
      <c r="H58" s="121"/>
      <c r="I58" s="1"/>
    </row>
    <row r="59" spans="1:9" x14ac:dyDescent="0.25">
      <c r="A59" s="1"/>
      <c r="B59" s="118" t="s">
        <v>205</v>
      </c>
      <c r="C59" s="116"/>
      <c r="D59" s="116"/>
      <c r="E59" s="116"/>
      <c r="F59" s="117"/>
      <c r="G59" s="24">
        <f>(G53+G54-G55)*(1+'Fane 12. Nøgletal'!C14)</f>
        <v>30697341.832449421</v>
      </c>
      <c r="H59" s="14" t="s">
        <v>3</v>
      </c>
      <c r="I59" s="1"/>
    </row>
    <row r="60" spans="1:9" x14ac:dyDescent="0.25">
      <c r="A60" s="1"/>
      <c r="B60" s="118" t="s">
        <v>206</v>
      </c>
      <c r="C60" s="116"/>
      <c r="D60" s="116"/>
      <c r="E60" s="116"/>
      <c r="F60" s="117"/>
      <c r="G60" s="47">
        <f>-'Fane 11. Bortfald'!C30*(1+'Fane 12. Nøgletal'!C14)</f>
        <v>0</v>
      </c>
      <c r="H60" s="14" t="s">
        <v>3</v>
      </c>
      <c r="I60" s="1"/>
    </row>
    <row r="61" spans="1:9" x14ac:dyDescent="0.25">
      <c r="A61" s="1"/>
      <c r="B61" s="118" t="s">
        <v>207</v>
      </c>
      <c r="C61" s="116"/>
      <c r="D61" s="116"/>
      <c r="E61" s="116"/>
      <c r="F61" s="117"/>
      <c r="G61" s="24">
        <f>(G59+G60)*'Fane 12. Nøgletal'!C29</f>
        <v>613946.83664898842</v>
      </c>
      <c r="H61" s="14" t="s">
        <v>3</v>
      </c>
      <c r="I61" s="1"/>
    </row>
    <row r="62" spans="1:9" x14ac:dyDescent="0.25">
      <c r="A62" s="1"/>
      <c r="B62" s="49"/>
      <c r="C62" s="50"/>
      <c r="D62" s="50"/>
      <c r="E62" s="50"/>
      <c r="F62" s="50"/>
      <c r="G62" s="50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oUhEH+IeRcrhcuufsvcc8PHAM/QjC5lrcOih3EZ9STz3UemFcU4baXqjkcKYjqyeXnzj3ZHsnNpnhcwA/pWnNQ==" saltValue="e0vFBGnKVA7Xxg9oC+lQrg==" spinCount="100000" sheet="1" objects="1" scenarios="1"/>
  <mergeCells count="40">
    <mergeCell ref="B2:H4"/>
    <mergeCell ref="B5:H5"/>
    <mergeCell ref="B6:F6"/>
    <mergeCell ref="B7:F7"/>
    <mergeCell ref="B11:F11"/>
    <mergeCell ref="B10:H10"/>
    <mergeCell ref="B16:H16"/>
    <mergeCell ref="B23:H23"/>
    <mergeCell ref="B12:F12"/>
    <mergeCell ref="B13:F13"/>
    <mergeCell ref="B17:F17"/>
    <mergeCell ref="B19:F19"/>
    <mergeCell ref="B18:F18"/>
    <mergeCell ref="B20:F20"/>
    <mergeCell ref="B24:F24"/>
    <mergeCell ref="B25:F25"/>
    <mergeCell ref="B26:F26"/>
    <mergeCell ref="B37:F37"/>
    <mergeCell ref="B32:F32"/>
    <mergeCell ref="B33:F33"/>
    <mergeCell ref="B31:F31"/>
    <mergeCell ref="B29:H29"/>
    <mergeCell ref="B30:F30"/>
    <mergeCell ref="B36:H36"/>
    <mergeCell ref="B38:F38"/>
    <mergeCell ref="B39:F39"/>
    <mergeCell ref="B61:F61"/>
    <mergeCell ref="B60:F60"/>
    <mergeCell ref="B59:F59"/>
    <mergeCell ref="B58:H58"/>
    <mergeCell ref="B52:H52"/>
    <mergeCell ref="B53:F53"/>
    <mergeCell ref="B54:F54"/>
    <mergeCell ref="B55:F55"/>
    <mergeCell ref="B44:H44"/>
    <mergeCell ref="B45:F45"/>
    <mergeCell ref="B47:F47"/>
    <mergeCell ref="B40:F40"/>
    <mergeCell ref="B46:F46"/>
    <mergeCell ref="B41:F4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2.5703125" style="2" bestFit="1" customWidth="1"/>
    <col min="8" max="8" width="7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35"/>
      <c r="C1" s="35"/>
      <c r="D1" s="35"/>
      <c r="E1" s="35"/>
      <c r="F1" s="35"/>
      <c r="G1" s="35"/>
      <c r="H1" s="35"/>
      <c r="I1" s="1"/>
    </row>
    <row r="2" spans="1:9" ht="21" customHeight="1" x14ac:dyDescent="0.25">
      <c r="A2" s="1"/>
      <c r="B2" s="98" t="s">
        <v>119</v>
      </c>
      <c r="C2" s="98"/>
      <c r="D2" s="98"/>
      <c r="E2" s="98"/>
      <c r="F2" s="98"/>
      <c r="G2" s="98"/>
      <c r="H2" s="98"/>
      <c r="I2" s="1"/>
    </row>
    <row r="3" spans="1:9" ht="18" customHeight="1" x14ac:dyDescent="0.25">
      <c r="A3" s="1"/>
      <c r="B3" s="98"/>
      <c r="C3" s="98"/>
      <c r="D3" s="98"/>
      <c r="E3" s="98"/>
      <c r="F3" s="98"/>
      <c r="G3" s="98"/>
      <c r="H3" s="98"/>
      <c r="I3" s="1"/>
    </row>
    <row r="4" spans="1:9" ht="14.25" customHeight="1" x14ac:dyDescent="0.25">
      <c r="A4" s="1"/>
      <c r="B4" s="36"/>
      <c r="C4" s="36"/>
      <c r="D4" s="36"/>
      <c r="E4" s="36"/>
      <c r="F4" s="36"/>
      <c r="G4" s="36"/>
      <c r="H4" s="36"/>
      <c r="I4" s="1"/>
    </row>
    <row r="5" spans="1:9" x14ac:dyDescent="0.25">
      <c r="A5" s="1"/>
      <c r="B5" s="119" t="s">
        <v>57</v>
      </c>
      <c r="C5" s="120"/>
      <c r="D5" s="120"/>
      <c r="E5" s="120"/>
      <c r="F5" s="120"/>
      <c r="G5" s="120"/>
      <c r="H5" s="121"/>
      <c r="I5" s="1"/>
    </row>
    <row r="6" spans="1:9" x14ac:dyDescent="0.25">
      <c r="A6" s="1"/>
      <c r="B6" s="118" t="s">
        <v>63</v>
      </c>
      <c r="C6" s="116"/>
      <c r="D6" s="116"/>
      <c r="E6" s="116"/>
      <c r="F6" s="117"/>
      <c r="G6" s="24">
        <v>22588247.473941181</v>
      </c>
      <c r="H6" s="14" t="s">
        <v>3</v>
      </c>
      <c r="I6" s="1"/>
    </row>
    <row r="7" spans="1:9" x14ac:dyDescent="0.25">
      <c r="A7" s="1"/>
      <c r="B7" s="118" t="s">
        <v>58</v>
      </c>
      <c r="C7" s="116"/>
      <c r="D7" s="116"/>
      <c r="E7" s="116"/>
      <c r="F7" s="117"/>
      <c r="G7" s="24">
        <f>G6*'Fane 12. Nøgletal'!C19</f>
        <v>205553.05201286476</v>
      </c>
      <c r="H7" s="14" t="s">
        <v>3</v>
      </c>
      <c r="I7" s="1"/>
    </row>
    <row r="8" spans="1:9" x14ac:dyDescent="0.25">
      <c r="A8" s="1"/>
      <c r="B8" s="49"/>
      <c r="C8" s="50"/>
      <c r="D8" s="50"/>
      <c r="E8" s="50"/>
      <c r="F8" s="50"/>
      <c r="G8" s="50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19" t="s">
        <v>64</v>
      </c>
      <c r="C10" s="120"/>
      <c r="D10" s="120"/>
      <c r="E10" s="120"/>
      <c r="F10" s="120"/>
      <c r="G10" s="120"/>
      <c r="H10" s="121"/>
      <c r="I10" s="1"/>
    </row>
    <row r="11" spans="1:9" x14ac:dyDescent="0.25">
      <c r="A11" s="1"/>
      <c r="B11" s="118" t="s">
        <v>65</v>
      </c>
      <c r="C11" s="116"/>
      <c r="D11" s="116"/>
      <c r="E11" s="116"/>
      <c r="F11" s="117"/>
      <c r="G11" s="24">
        <f>(G6-G7)*(1+'Fane 12. Nøgletal'!C9)</f>
        <v>22666954.641086806</v>
      </c>
      <c r="H11" s="14" t="s">
        <v>3</v>
      </c>
      <c r="I11" s="1"/>
    </row>
    <row r="12" spans="1:9" x14ac:dyDescent="0.25">
      <c r="A12" s="1"/>
      <c r="B12" s="122" t="s">
        <v>66</v>
      </c>
      <c r="C12" s="123"/>
      <c r="D12" s="123"/>
      <c r="E12" s="123"/>
      <c r="F12" s="124"/>
      <c r="G12" s="47">
        <v>0</v>
      </c>
      <c r="H12" s="14" t="s">
        <v>3</v>
      </c>
      <c r="I12" s="1"/>
    </row>
    <row r="13" spans="1:9" x14ac:dyDescent="0.25">
      <c r="A13" s="1"/>
      <c r="B13" s="118" t="s">
        <v>67</v>
      </c>
      <c r="C13" s="116"/>
      <c r="D13" s="116"/>
      <c r="E13" s="116"/>
      <c r="F13" s="117"/>
      <c r="G13" s="24">
        <f>G11*'Fane 12. Nøgletal'!C19+G12*'Fane 12. Nøgletal'!C20</f>
        <v>206269.28723388995</v>
      </c>
      <c r="H13" s="14" t="s">
        <v>3</v>
      </c>
      <c r="I13" s="1"/>
    </row>
    <row r="14" spans="1:9" x14ac:dyDescent="0.25">
      <c r="A14" s="1"/>
      <c r="B14" s="49"/>
      <c r="C14" s="50"/>
      <c r="D14" s="50"/>
      <c r="E14" s="50"/>
      <c r="F14" s="50"/>
      <c r="G14" s="50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19" t="s">
        <v>68</v>
      </c>
      <c r="C16" s="120"/>
      <c r="D16" s="120"/>
      <c r="E16" s="120"/>
      <c r="F16" s="120"/>
      <c r="G16" s="120"/>
      <c r="H16" s="121"/>
      <c r="I16" s="1"/>
    </row>
    <row r="17" spans="1:9" x14ac:dyDescent="0.25">
      <c r="A17" s="1"/>
      <c r="B17" s="118" t="s">
        <v>69</v>
      </c>
      <c r="C17" s="116"/>
      <c r="D17" s="116"/>
      <c r="E17" s="116"/>
      <c r="F17" s="117"/>
      <c r="G17" s="24">
        <f>(G11+G12-G13)*(1+'Fane 12. Nøgletal'!C11)</f>
        <v>22840270.93633303</v>
      </c>
      <c r="H17" s="14" t="s">
        <v>3</v>
      </c>
      <c r="I17" s="1"/>
    </row>
    <row r="18" spans="1:9" x14ac:dyDescent="0.25">
      <c r="A18" s="1"/>
      <c r="B18" s="118" t="s">
        <v>137</v>
      </c>
      <c r="C18" s="116"/>
      <c r="D18" s="116"/>
      <c r="E18" s="116"/>
      <c r="F18" s="117"/>
      <c r="G18" s="24">
        <v>-399022.31955478404</v>
      </c>
      <c r="H18" s="14" t="s">
        <v>3</v>
      </c>
      <c r="I18" s="1"/>
    </row>
    <row r="19" spans="1:9" x14ac:dyDescent="0.25">
      <c r="A19" s="1"/>
      <c r="B19" s="122" t="s">
        <v>70</v>
      </c>
      <c r="C19" s="123"/>
      <c r="D19" s="123"/>
      <c r="E19" s="123"/>
      <c r="F19" s="124"/>
      <c r="G19" s="24">
        <v>194272.62946508997</v>
      </c>
      <c r="H19" s="14" t="s">
        <v>3</v>
      </c>
      <c r="I19" s="1"/>
    </row>
    <row r="20" spans="1:9" x14ac:dyDescent="0.25">
      <c r="A20" s="1"/>
      <c r="B20" s="118" t="s">
        <v>71</v>
      </c>
      <c r="C20" s="116"/>
      <c r="D20" s="116"/>
      <c r="E20" s="116"/>
      <c r="F20" s="117"/>
      <c r="G20" s="24">
        <f>SUM(G17:G19)*'Fane 12. Nøgletal'!C21</f>
        <v>196929.03484231699</v>
      </c>
      <c r="H20" s="14" t="s">
        <v>3</v>
      </c>
      <c r="I20" s="1"/>
    </row>
    <row r="21" spans="1:9" x14ac:dyDescent="0.25">
      <c r="A21" s="1"/>
      <c r="B21" s="49"/>
      <c r="C21" s="50"/>
      <c r="D21" s="50"/>
      <c r="E21" s="50"/>
      <c r="F21" s="50"/>
      <c r="G21" s="50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19" t="s">
        <v>72</v>
      </c>
      <c r="C23" s="120"/>
      <c r="D23" s="120"/>
      <c r="E23" s="120"/>
      <c r="F23" s="120"/>
      <c r="G23" s="120"/>
      <c r="H23" s="121"/>
      <c r="I23" s="1"/>
    </row>
    <row r="24" spans="1:9" x14ac:dyDescent="0.25">
      <c r="A24" s="1"/>
      <c r="B24" s="118" t="s">
        <v>73</v>
      </c>
      <c r="C24" s="116"/>
      <c r="D24" s="116"/>
      <c r="E24" s="116"/>
      <c r="F24" s="117"/>
      <c r="G24" s="24">
        <f>(G17+G18+G19-G20)*(1+'Fane 12. Nøgletal'!C11)</f>
        <v>22817804.419773694</v>
      </c>
      <c r="H24" s="14" t="s">
        <v>3</v>
      </c>
      <c r="I24" s="1"/>
    </row>
    <row r="25" spans="1:9" x14ac:dyDescent="0.25">
      <c r="A25" s="1"/>
      <c r="B25" s="122" t="s">
        <v>74</v>
      </c>
      <c r="C25" s="123"/>
      <c r="D25" s="123"/>
      <c r="E25" s="123"/>
      <c r="F25" s="124"/>
      <c r="G25" s="47">
        <v>0</v>
      </c>
      <c r="H25" s="14" t="s">
        <v>3</v>
      </c>
      <c r="I25" s="1"/>
    </row>
    <row r="26" spans="1:9" x14ac:dyDescent="0.25">
      <c r="A26" s="1"/>
      <c r="B26" s="118" t="s">
        <v>75</v>
      </c>
      <c r="C26" s="116"/>
      <c r="D26" s="116"/>
      <c r="E26" s="116"/>
      <c r="F26" s="117"/>
      <c r="G26" s="24">
        <f>G24*'Fane 12. Nøgletal'!C21+G25*'Fane 12. Nøgletal'!C22</f>
        <v>198514.89845203114</v>
      </c>
      <c r="H26" s="14" t="s">
        <v>3</v>
      </c>
      <c r="I26" s="1"/>
    </row>
    <row r="27" spans="1:9" x14ac:dyDescent="0.25">
      <c r="A27" s="1"/>
      <c r="B27" s="49"/>
      <c r="C27" s="50"/>
      <c r="D27" s="50"/>
      <c r="E27" s="50"/>
      <c r="F27" s="50"/>
      <c r="G27" s="50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19" t="s">
        <v>76</v>
      </c>
      <c r="C29" s="120"/>
      <c r="D29" s="120"/>
      <c r="E29" s="120"/>
      <c r="F29" s="120"/>
      <c r="G29" s="120"/>
      <c r="H29" s="121"/>
      <c r="I29" s="1"/>
    </row>
    <row r="30" spans="1:9" x14ac:dyDescent="0.25">
      <c r="A30" s="1"/>
      <c r="B30" s="118" t="s">
        <v>77</v>
      </c>
      <c r="C30" s="116"/>
      <c r="D30" s="116"/>
      <c r="E30" s="116"/>
      <c r="F30" s="117"/>
      <c r="G30" s="24">
        <f>G24*(1-'Fane 12. Nøgletal'!C21)*(1+'Fane 12. Nøgletal'!C11)+G25*(1-'Fane 12. Nøgletal'!C22)*(1+'Fane 12. Nøgletal'!C12)</f>
        <v>23001555.514231995</v>
      </c>
      <c r="H30" s="14" t="s">
        <v>3</v>
      </c>
      <c r="I30" s="1"/>
    </row>
    <row r="31" spans="1:9" x14ac:dyDescent="0.25">
      <c r="A31" s="1"/>
      <c r="B31" s="113" t="s">
        <v>134</v>
      </c>
      <c r="C31" s="114"/>
      <c r="D31" s="114"/>
      <c r="E31" s="114"/>
      <c r="F31" s="115"/>
      <c r="G31" s="47">
        <f>G25*(1-'Fane 12. Nøgletal'!C22)*(1+'Fane 12. Nøgletal'!C12)</f>
        <v>0</v>
      </c>
      <c r="H31" s="14" t="s">
        <v>3</v>
      </c>
      <c r="I31" s="1"/>
    </row>
    <row r="32" spans="1:9" x14ac:dyDescent="0.25">
      <c r="A32" s="1"/>
      <c r="B32" s="118" t="s">
        <v>164</v>
      </c>
      <c r="C32" s="116"/>
      <c r="D32" s="116"/>
      <c r="E32" s="116"/>
      <c r="F32" s="117"/>
      <c r="G32" s="24">
        <f>SUM('Fane 3. Omkostninger i ØR2021'!E13,'Fane 3. Omkostninger i ØR2021'!E15,'Fane 3. Omkostninger i ØR2021'!E17)*(1+'Fane 12. Nøgletal'!C13)</f>
        <v>2631096.7467573597</v>
      </c>
      <c r="H32" s="14" t="s">
        <v>3</v>
      </c>
      <c r="I32" s="1"/>
    </row>
    <row r="33" spans="1:9" x14ac:dyDescent="0.25">
      <c r="A33" s="1"/>
      <c r="B33" s="118" t="s">
        <v>78</v>
      </c>
      <c r="C33" s="116"/>
      <c r="D33" s="116"/>
      <c r="E33" s="116"/>
      <c r="F33" s="117"/>
      <c r="G33" s="24">
        <f>(G30-G31)*'Fane 12. Nøgletal'!C21+G31*'Fane 12. Nøgletal'!C22+G32*'Fane 12. Nøgletal'!C23</f>
        <v>272468.69350964576</v>
      </c>
      <c r="H33" s="14" t="s">
        <v>3</v>
      </c>
      <c r="I33" s="1"/>
    </row>
    <row r="34" spans="1:9" x14ac:dyDescent="0.25">
      <c r="A34" s="1"/>
      <c r="B34" s="49"/>
      <c r="C34" s="50"/>
      <c r="D34" s="50"/>
      <c r="E34" s="50"/>
      <c r="F34" s="50"/>
      <c r="G34" s="50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19" t="s">
        <v>116</v>
      </c>
      <c r="C36" s="120"/>
      <c r="D36" s="120"/>
      <c r="E36" s="120"/>
      <c r="F36" s="120"/>
      <c r="G36" s="120"/>
      <c r="H36" s="121"/>
      <c r="I36" s="1"/>
    </row>
    <row r="37" spans="1:9" x14ac:dyDescent="0.25">
      <c r="A37" s="1"/>
      <c r="B37" s="118" t="s">
        <v>81</v>
      </c>
      <c r="C37" s="116"/>
      <c r="D37" s="116"/>
      <c r="E37" s="116"/>
      <c r="F37" s="117"/>
      <c r="G37" s="24">
        <f>(G30-G31)*(1-'Fane 12. Nøgletal'!C21)*(1+'Fane 12. Nøgletal'!C11)+G31*(1-'Fane 12. Nøgletal'!C22)*(1+'Fane 12. Nøgletal'!C12)+G32*(1-'Fane 12. Nøgletal'!C23)*(1+'Fane 12. Nøgletal'!C13)</f>
        <v>25776744.584314875</v>
      </c>
      <c r="H37" s="14" t="s">
        <v>3</v>
      </c>
      <c r="I37" s="1"/>
    </row>
    <row r="38" spans="1:9" x14ac:dyDescent="0.25">
      <c r="A38" s="1"/>
      <c r="B38" s="113" t="s">
        <v>134</v>
      </c>
      <c r="C38" s="114"/>
      <c r="D38" s="114"/>
      <c r="E38" s="114"/>
      <c r="F38" s="115"/>
      <c r="G38" s="47">
        <f>G31*(1-'Fane 12. Nøgletal'!C22)*(1+'Fane 12. Nøgletal'!C12)</f>
        <v>0</v>
      </c>
      <c r="H38" s="14" t="s">
        <v>3</v>
      </c>
      <c r="I38" s="1"/>
    </row>
    <row r="39" spans="1:9" x14ac:dyDescent="0.25">
      <c r="A39" s="1"/>
      <c r="B39" s="113" t="s">
        <v>166</v>
      </c>
      <c r="C39" s="114"/>
      <c r="D39" s="114"/>
      <c r="E39" s="114"/>
      <c r="F39" s="115"/>
      <c r="G39" s="24">
        <f>G32*(1-'Fane 12. Nøgletal'!C23)*(1+'Fane 12. Nøgletal'!C13)</f>
        <v>2589958.2335734349</v>
      </c>
      <c r="H39" s="14" t="s">
        <v>3</v>
      </c>
      <c r="I39" s="1"/>
    </row>
    <row r="40" spans="1:9" x14ac:dyDescent="0.25">
      <c r="A40" s="1"/>
      <c r="B40" s="118" t="s">
        <v>227</v>
      </c>
      <c r="C40" s="116"/>
      <c r="D40" s="116"/>
      <c r="E40" s="116"/>
      <c r="F40" s="117"/>
      <c r="G40" s="24">
        <f>SUM('Fane 2.1. Økonomisk ramme 2022'!C15,'Fane 2.1. Økonomisk ramme 2022'!C17,'Fane 2.1. Økonomisk ramme 2022'!C19)*(1+'Fane 12. Nøgletal'!C14)</f>
        <v>636232.43946806015</v>
      </c>
      <c r="H40" s="14" t="s">
        <v>3</v>
      </c>
      <c r="I40" s="1"/>
    </row>
    <row r="41" spans="1:9" x14ac:dyDescent="0.25">
      <c r="A41" s="1"/>
      <c r="B41" s="118" t="s">
        <v>174</v>
      </c>
      <c r="C41" s="116"/>
      <c r="D41" s="116"/>
      <c r="E41" s="116"/>
      <c r="F41" s="117"/>
      <c r="G41" s="24">
        <f>(G37-SUM(G38:G39))*'Fane 12. Nøgletal'!C21+G38*'Fane 12. Nøgletal'!C22+(G39)*'Fane 12. Nøgletal'!C23+(G40)*'Fane 12. Nøgletal'!C24</f>
        <v>282365.13277884724</v>
      </c>
      <c r="H41" s="14" t="s">
        <v>3</v>
      </c>
      <c r="I41" s="1"/>
    </row>
    <row r="42" spans="1:9" x14ac:dyDescent="0.25">
      <c r="A42" s="1"/>
      <c r="B42" s="49"/>
      <c r="C42" s="50"/>
      <c r="D42" s="50"/>
      <c r="E42" s="50"/>
      <c r="F42" s="50"/>
      <c r="G42" s="50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19" t="s">
        <v>85</v>
      </c>
      <c r="C44" s="120"/>
      <c r="D44" s="120"/>
      <c r="E44" s="120"/>
      <c r="F44" s="120"/>
      <c r="G44" s="120"/>
      <c r="H44" s="121"/>
      <c r="I44" s="1"/>
    </row>
    <row r="45" spans="1:9" x14ac:dyDescent="0.25">
      <c r="A45" s="1"/>
      <c r="B45" s="118" t="s">
        <v>80</v>
      </c>
      <c r="C45" s="116"/>
      <c r="D45" s="116"/>
      <c r="E45" s="116"/>
      <c r="F45" s="117"/>
      <c r="G45" s="24">
        <f>(G37+G40-G41)*(1+'Fane 12. Nøgletal'!C14)</f>
        <v>26216842.910244405</v>
      </c>
      <c r="H45" s="14" t="s">
        <v>3</v>
      </c>
      <c r="I45" s="1"/>
    </row>
    <row r="46" spans="1:9" x14ac:dyDescent="0.25">
      <c r="A46" s="1"/>
      <c r="B46" s="118" t="s">
        <v>99</v>
      </c>
      <c r="C46" s="116"/>
      <c r="D46" s="116"/>
      <c r="E46" s="116"/>
      <c r="F46" s="117"/>
      <c r="G46" s="47">
        <f>-'Fane 11. Bortfald'!E18*(1+'Fane 12. Nøgletal'!C14)</f>
        <v>0</v>
      </c>
      <c r="H46" s="14" t="s">
        <v>3</v>
      </c>
      <c r="I46" s="1"/>
    </row>
    <row r="47" spans="1:9" x14ac:dyDescent="0.25">
      <c r="A47" s="1"/>
      <c r="B47" s="118" t="s">
        <v>79</v>
      </c>
      <c r="C47" s="116"/>
      <c r="D47" s="116"/>
      <c r="E47" s="116"/>
      <c r="F47" s="117"/>
      <c r="G47" s="24">
        <f>(G45+G46)*'Fane 12. Nøgletal'!C24</f>
        <v>388009.27507161722</v>
      </c>
      <c r="H47" s="14" t="s">
        <v>3</v>
      </c>
      <c r="I47" s="1"/>
    </row>
    <row r="48" spans="1:9" x14ac:dyDescent="0.25">
      <c r="A48" s="1"/>
      <c r="B48" s="49"/>
      <c r="C48" s="50"/>
      <c r="D48" s="50"/>
      <c r="E48" s="50"/>
      <c r="F48" s="50"/>
      <c r="G48" s="50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19" t="s">
        <v>167</v>
      </c>
      <c r="C51" s="120"/>
      <c r="D51" s="120"/>
      <c r="E51" s="120"/>
      <c r="F51" s="120"/>
      <c r="G51" s="120"/>
      <c r="H51" s="121"/>
      <c r="I51" s="1"/>
    </row>
    <row r="52" spans="1:9" x14ac:dyDescent="0.25">
      <c r="A52" s="1"/>
      <c r="B52" s="118" t="s">
        <v>168</v>
      </c>
      <c r="C52" s="116"/>
      <c r="D52" s="116"/>
      <c r="E52" s="116"/>
      <c r="F52" s="117"/>
      <c r="G52" s="24">
        <f>(G45+G46-G47)*(1+'Fane 12. Nøgletal'!C14)</f>
        <v>25914068.786168862</v>
      </c>
      <c r="H52" s="14" t="s">
        <v>3</v>
      </c>
      <c r="I52" s="1"/>
    </row>
    <row r="53" spans="1:9" x14ac:dyDescent="0.25">
      <c r="A53" s="1"/>
      <c r="B53" s="118" t="s">
        <v>169</v>
      </c>
      <c r="C53" s="116"/>
      <c r="D53" s="116"/>
      <c r="E53" s="116"/>
      <c r="F53" s="117"/>
      <c r="G53" s="47">
        <f>-'Fane 11. Bortfald'!E24*(1+'Fane 12. Nøgletal'!C14)</f>
        <v>0</v>
      </c>
      <c r="H53" s="14" t="s">
        <v>3</v>
      </c>
      <c r="I53" s="1"/>
    </row>
    <row r="54" spans="1:9" x14ac:dyDescent="0.25">
      <c r="A54" s="1"/>
      <c r="B54" s="118" t="s">
        <v>170</v>
      </c>
      <c r="C54" s="116"/>
      <c r="D54" s="116"/>
      <c r="E54" s="116"/>
      <c r="F54" s="117"/>
      <c r="G54" s="24">
        <f>(G52+G53)*'Fane 12. Nøgletal'!C24</f>
        <v>383528.21803529916</v>
      </c>
      <c r="H54" s="14" t="s">
        <v>3</v>
      </c>
      <c r="I54" s="1"/>
    </row>
    <row r="55" spans="1:9" x14ac:dyDescent="0.25">
      <c r="A55" s="1"/>
      <c r="B55" s="49"/>
      <c r="C55" s="50"/>
      <c r="D55" s="50"/>
      <c r="E55" s="50"/>
      <c r="F55" s="50"/>
      <c r="G55" s="50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19" t="s">
        <v>208</v>
      </c>
      <c r="C57" s="120"/>
      <c r="D57" s="120"/>
      <c r="E57" s="120"/>
      <c r="F57" s="120"/>
      <c r="G57" s="120"/>
      <c r="H57" s="121"/>
      <c r="I57" s="1"/>
    </row>
    <row r="58" spans="1:9" x14ac:dyDescent="0.25">
      <c r="A58" s="1"/>
      <c r="B58" s="118" t="s">
        <v>209</v>
      </c>
      <c r="C58" s="116"/>
      <c r="D58" s="116"/>
      <c r="E58" s="116"/>
      <c r="F58" s="117"/>
      <c r="G58" s="24">
        <f>(G52+G53-G54)*(1+'Fane 12. Nøgletal'!C14)</f>
        <v>25614791.352008406</v>
      </c>
      <c r="H58" s="14" t="s">
        <v>3</v>
      </c>
      <c r="I58" s="1"/>
    </row>
    <row r="59" spans="1:9" x14ac:dyDescent="0.25">
      <c r="A59" s="1"/>
      <c r="B59" s="118" t="s">
        <v>210</v>
      </c>
      <c r="C59" s="116"/>
      <c r="D59" s="116"/>
      <c r="E59" s="116"/>
      <c r="F59" s="117"/>
      <c r="G59" s="47">
        <f>-'Fane 11. Bortfald'!E30*(1+'Fane 12. Nøgletal'!C14)</f>
        <v>0</v>
      </c>
      <c r="H59" s="14" t="s">
        <v>3</v>
      </c>
      <c r="I59" s="1"/>
    </row>
    <row r="60" spans="1:9" x14ac:dyDescent="0.25">
      <c r="A60" s="1"/>
      <c r="B60" s="118" t="s">
        <v>211</v>
      </c>
      <c r="C60" s="116"/>
      <c r="D60" s="116"/>
      <c r="E60" s="116"/>
      <c r="F60" s="117"/>
      <c r="G60" s="24">
        <f>(G58+G59)*'Fane 12. Nøgletal'!C24</f>
        <v>379098.91200972442</v>
      </c>
      <c r="H60" s="14" t="s">
        <v>3</v>
      </c>
      <c r="I60" s="1"/>
    </row>
    <row r="61" spans="1:9" x14ac:dyDescent="0.25">
      <c r="A61" s="1"/>
      <c r="B61" s="49"/>
      <c r="C61" s="50"/>
      <c r="D61" s="50"/>
      <c r="E61" s="50"/>
      <c r="F61" s="50"/>
      <c r="G61" s="50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gAnVZvvfc1c39hkcbpaTerems3s1dT0DZ6yV61p6l6AisrQnOibQs7kQMWK0M82paLlnJ8zjXldQTQ59pvAnyQ==" saltValue="VgdXUcq/j9KPgkrE43dUJQ==" spinCount="100000" sheet="1" objects="1" scenarios="1"/>
  <mergeCells count="40">
    <mergeCell ref="B2:H3"/>
    <mergeCell ref="B32:F32"/>
    <mergeCell ref="B23:H23"/>
    <mergeCell ref="B40:F40"/>
    <mergeCell ref="B52:F52"/>
    <mergeCell ref="B31:F31"/>
    <mergeCell ref="B39:F39"/>
    <mergeCell ref="B37:F37"/>
    <mergeCell ref="B51:H51"/>
    <mergeCell ref="B47:F47"/>
    <mergeCell ref="B20:F20"/>
    <mergeCell ref="B5:H5"/>
    <mergeCell ref="B6:F6"/>
    <mergeCell ref="B7:F7"/>
    <mergeCell ref="B10:H10"/>
    <mergeCell ref="B11:F11"/>
    <mergeCell ref="B12:F12"/>
    <mergeCell ref="B13:F13"/>
    <mergeCell ref="B16:H16"/>
    <mergeCell ref="B17:F17"/>
    <mergeCell ref="B53:F53"/>
    <mergeCell ref="B18:F18"/>
    <mergeCell ref="B46:F46"/>
    <mergeCell ref="B24:F24"/>
    <mergeCell ref="B25:F25"/>
    <mergeCell ref="B26:F26"/>
    <mergeCell ref="B41:F41"/>
    <mergeCell ref="B44:H44"/>
    <mergeCell ref="B45:F45"/>
    <mergeCell ref="B29:H29"/>
    <mergeCell ref="B30:F30"/>
    <mergeCell ref="B33:F33"/>
    <mergeCell ref="B36:H36"/>
    <mergeCell ref="B38:F38"/>
    <mergeCell ref="B19:F19"/>
    <mergeCell ref="B60:F60"/>
    <mergeCell ref="B59:F59"/>
    <mergeCell ref="B58:F58"/>
    <mergeCell ref="B57:H57"/>
    <mergeCell ref="B54:F5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94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9" t="s">
        <v>9</v>
      </c>
      <c r="C8" s="120"/>
      <c r="D8" s="120"/>
      <c r="E8" s="120"/>
      <c r="F8" s="120"/>
      <c r="G8" s="120"/>
      <c r="H8" s="121"/>
      <c r="I8" s="1"/>
    </row>
    <row r="9" spans="1:9" x14ac:dyDescent="0.25">
      <c r="A9" s="1"/>
      <c r="B9" s="118" t="s">
        <v>108</v>
      </c>
      <c r="C9" s="116"/>
      <c r="D9" s="116"/>
      <c r="E9" s="116"/>
      <c r="F9" s="117"/>
      <c r="G9" s="46">
        <v>0</v>
      </c>
      <c r="H9" s="14"/>
      <c r="I9" s="1"/>
    </row>
    <row r="10" spans="1:9" x14ac:dyDescent="0.25">
      <c r="A10" s="1"/>
      <c r="B10" s="118" t="s">
        <v>115</v>
      </c>
      <c r="C10" s="116"/>
      <c r="D10" s="116"/>
      <c r="E10" s="116"/>
      <c r="F10" s="117"/>
      <c r="G10" s="46">
        <v>0</v>
      </c>
      <c r="H10" s="14"/>
      <c r="I10" s="1"/>
    </row>
    <row r="11" spans="1:9" x14ac:dyDescent="0.25">
      <c r="A11" s="1"/>
      <c r="B11" s="49"/>
      <c r="C11" s="50"/>
      <c r="D11" s="50"/>
      <c r="E11" s="50"/>
      <c r="F11" s="50"/>
      <c r="G11" s="50"/>
      <c r="H11" s="20"/>
      <c r="I11" s="1"/>
    </row>
    <row r="12" spans="1:9" ht="40.5" customHeight="1" x14ac:dyDescent="0.25">
      <c r="A12" s="1"/>
      <c r="B12" s="105" t="s">
        <v>187</v>
      </c>
      <c r="C12" s="106"/>
      <c r="D12" s="106"/>
      <c r="E12" s="106"/>
      <c r="F12" s="106"/>
      <c r="G12" s="106"/>
      <c r="H12" s="107"/>
      <c r="I12" s="1"/>
    </row>
    <row r="13" spans="1:9" ht="14.25" customHeight="1" x14ac:dyDescent="0.25">
      <c r="A13" s="18"/>
      <c r="B13" s="125"/>
      <c r="C13" s="125"/>
      <c r="D13" s="125"/>
      <c r="E13" s="125"/>
      <c r="F13" s="125"/>
      <c r="G13" s="125"/>
      <c r="H13" s="125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vLSIMHXsRRHZwucCLZVBS+TLqmNf+LfhCSe0YoOCMO78o5yj9mjgBFXNEj9fOFlil3BV/Fh2BAwPrvSkmYBOtA==" saltValue="zuWRU7HhGdzaZX4y7Y3L9A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2021-10-15T09:08:32Z</dcterms:modified>
</cp:coreProperties>
</file>