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Sorø Spildevand AS (S088)\ØR2025\"/>
    </mc:Choice>
  </mc:AlternateContent>
  <xr:revisionPtr revIDLastSave="0" documentId="13_ncr:1_{F1C5F991-EFD1-46DC-8012-17A6C3011344}"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F10" i="11" l="1"/>
  <c r="C11" i="29"/>
  <c r="C10" i="36" l="1"/>
  <c r="C10" i="30"/>
  <c r="C20" i="23" l="1"/>
  <c r="C22" i="22"/>
  <c r="C22" i="15"/>
  <c r="C36" i="2"/>
  <c r="C11" i="30" l="1"/>
  <c r="C15" i="30" s="1"/>
  <c r="C29" i="20" l="1"/>
  <c r="C28" i="20"/>
  <c r="C23" i="20"/>
  <c r="C22" i="20"/>
  <c r="C24" i="20" l="1"/>
  <c r="C30" i="20"/>
  <c r="C18" i="41"/>
  <c r="C16" i="20" l="1"/>
  <c r="C10" i="20"/>
  <c r="C32" i="2" l="1"/>
  <c r="C31" i="43"/>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<sst xmlns="http://schemas.openxmlformats.org/spreadsheetml/2006/main" count="547" uniqueCount="233">
  <si>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</si>
  <si>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</si>
  <si>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</si>
  <si>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</si>
  <si>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</si>
  <si>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</si>
  <si>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</si>
  <si>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</si>
  <si>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</si>
  <si>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</si>
  <si>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</si>
  <si>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</si>
  <si>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</si>
  <si>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</si>
  <si>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</si>
  <si>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</si>
  <si>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</si>
  <si>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</si>
  <si>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</si>
  <si>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</si>
  <si>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</si>
  <si>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</si>
  <si>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</si>
  <si>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</si>
  <si>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</si>
  <si>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</si>
  <si>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</si>
  <si>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</si>
  <si>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</si>
  <si>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</si>
  <si>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</si>
  <si>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</si>
  <si>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</si>
  <si>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</si>
  <si>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</si>
  <si>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</si>
  <si>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</si>
  <si>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</si>
  <si>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</si>
  <si>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</si>
  <si>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</si>
  <si>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</si>
  <si>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</si>
  <si>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</si>
  <si>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</si>
  <si>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</si>
  <si>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</si>
  <si>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</si>
  <si>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</si>
  <si>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</si>
  <si>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</si>
  <si>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</si>
  <si>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</si>
  <si>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</si>
  <si>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</si>
  <si>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</si>
  <si>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</si>
  <si>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</si>
  <si>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</si>
  <si>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</si>
  <si>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</si>
  <si>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</si>
  <si>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</si>
  <si>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</si>
  <si>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</si>
  <si>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</si>
  <si>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</si>
  <si>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</si>
  <si>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</si>
  <si>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</si>
  <si>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</si>
  <si>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</si>
  <si>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</si>
  <si>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</si>
  <si>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</si>
  <si>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</si>
  <si>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</si>
  <si>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</si>
  <si>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</si>
  <si>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</si>
  <si>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</si>
  <si>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</si>
  <si>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</si>
  <si>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</si>
  <si>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</si>
  <si>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</si>
  <si>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</si>
  <si>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</si>
  <si>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</si>
  <si>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</si>
  <si>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</si>
  <si>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</si>
  <si>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</si>
  <si>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</si>
  <si>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</si>
  <si>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</si>
  <si>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</si>
  <si>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</si>
  <si>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</si>
  <si>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</si>
  <si>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</si>
  <si>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</si>
  <si>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</si>
  <si>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</si>
  <si>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</si>
  <si>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</si>
  <si>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</si>
  <si>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</si>
  <si>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</si>
  <si>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</si>
  <si>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</si>
  <si>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</si>
  <si>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</si>
  <si>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</si>
  <si>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</si>
  <si>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</si>
  <si>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</si>
  <si>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</si>
  <si>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</si>
  <si>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</si>
  <si>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</si>
  <si>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</si>
  <si>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</si>
  <si>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</si>
  <si>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</si>
  <si>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</si>
  <si>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</si>
  <si>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</si>
  <si>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</si>
  <si>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</si>
  <si>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</si>
  <si>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</si>
  <si>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</si>
  <si>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</si>
  <si>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</si>
  <si>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</si>
  <si>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</si>
  <si>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</si>
  <si>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</si>
  <si>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</si>
  <si>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</si>
  <si>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</si>
  <si>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</si>
  <si>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</si>
  <si>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</si>
  <si>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</si>
  <si>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</si>
  <si>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</si>
  <si>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</si>
  <si>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</si>
  <si>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</si>
  <si>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</si>
  <si>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</si>
  <si>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</si>
  <si>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</si>
  <si>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</si>
  <si>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</si>
  <si>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</si>
  <si>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</si>
  <si>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</si>
  <si>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</si>
  <si>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</si>
  <si>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</si>
  <si>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</si>
  <si>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</si>
  <si>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</si>
  <si>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</si>
  <si>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</si>
  <si>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</si>
  <si>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</si>
  <si>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</si>
  <si>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</si>
  <si>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</si>
  <si>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</si>
  <si>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</si>
  <si>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</si>
  <si>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</si>
  <si>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</si>
  <si>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</si>
  <si>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</si>
  <si>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</si>
  <si>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</si>
  <si>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</si>
  <si>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</si>
  <si>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</si>
  <si>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</si>
  <si>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</si>
  <si>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</si>
  <si>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</si>
  <si>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</si>
  <si>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</si>
  <si>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</si>
  <si>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</si>
  <si>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</si>
  <si>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</si>
  <si>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</si>
  <si>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</si>
  <si>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</si>
  <si>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</si>
  <si>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</si>
  <si>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</si>
  <si>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</si>
  <si>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</si>
  <si>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</si>
  <si>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</si>
  <si>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</si>
  <si>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</si>
  <si>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</si>
  <si>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</si>
  <si>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</si>
  <si>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</si>
  <si>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</si>
  <si>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</si>
  <si>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</si>
  <si>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</si>
  <si>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</si>
  <si>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</si>
  <si>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</si>
  <si>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</si>
  <si>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</si>
  <si>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</si>
  <si>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</si>
  <si>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</si>
  <si>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</si>
  <si>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</si>
  <si>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</si>
  <si>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</si>
  <si>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</si>
  <si>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</si>
  <si>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</si>
  <si>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Erstatninger</t>
  </si>
  <si>
    <t>Gebyr til Miljøstyrelsen</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</si>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</sst>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232</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jST77w7YJso2hJhyK70b/+FohlNxUyyccvUjmy4XmJAUzit8BwDnratItLER9Un32QYwfTn4hOBdtcBg4yVOig==" saltValue="4l2vKRmHG9hSTCQPqJcDpg=="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226</v>
      </c>
      <c r="C10" s="73">
        <v>519221</v>
      </c>
      <c r="D10" s="14" t="s">
        <v>3</v>
      </c>
      <c r="E10" s="1"/>
    </row>
    <row r="11" spans="1:5" ht="15" customHeight="1" x14ac:dyDescent="0.25">
      <c r="A11" s="1"/>
      <c r="B11" s="72" t="s">
        <v>227</v>
      </c>
      <c r="C11" s="73">
        <v>58883</v>
      </c>
      <c r="D11" s="14" t="s">
        <v>3</v>
      </c>
      <c r="E11" s="1"/>
    </row>
    <row r="12" spans="1:5" ht="25.5" x14ac:dyDescent="0.25">
      <c r="A12" s="1"/>
      <c r="B12" s="72" t="s">
        <v>228</v>
      </c>
      <c r="C12" s="73">
        <v>34646</v>
      </c>
      <c r="D12" s="14" t="s">
        <v>3</v>
      </c>
      <c r="E12" s="1"/>
    </row>
    <row r="13" spans="1:5" x14ac:dyDescent="0.25">
      <c r="A13" s="1"/>
      <c r="B13" s="72" t="s">
        <v>229</v>
      </c>
      <c r="C13" s="73">
        <v>154448</v>
      </c>
      <c r="D13" s="14" t="s">
        <v>3</v>
      </c>
      <c r="E13" s="1"/>
    </row>
    <row r="14" spans="1:5" x14ac:dyDescent="0.25">
      <c r="A14" s="1"/>
      <c r="B14" s="72" t="s">
        <v>230</v>
      </c>
      <c r="C14" s="73">
        <v>61183</v>
      </c>
      <c r="D14" s="14" t="s">
        <v>3</v>
      </c>
      <c r="E14" s="1"/>
    </row>
    <row r="15" spans="1:5" x14ac:dyDescent="0.25">
      <c r="A15" s="1"/>
      <c r="B15" s="72" t="s">
        <v>231</v>
      </c>
      <c r="C15" s="73">
        <v>14203</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842584</v>
      </c>
      <c r="D20" s="13" t="s">
        <v>3</v>
      </c>
      <c r="E20" s="1"/>
    </row>
    <row r="21" spans="1:5" x14ac:dyDescent="0.25">
      <c r="A21" s="1"/>
      <c r="B21" s="33" t="s">
        <v>168</v>
      </c>
      <c r="C21" s="12">
        <f>C20*(1+'Fane 15. Nøgletal'!C10)^2</f>
        <v>958014.37646296003</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P5uW2YVMc4KFru3UY27I/isPAwsLRmo/JKVRU1MvIrf26Fhmg4NJIXuNP853SmVw54b7S/ez3zGZjB8KY8UuDA==" saltValue="KmshztYYquNISL6Z9rSg/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1555872.6263896301</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47566975.190796882</v>
      </c>
      <c r="D20" s="14" t="s">
        <v>3</v>
      </c>
      <c r="E20" s="1"/>
    </row>
    <row r="21" spans="1:5" x14ac:dyDescent="0.25">
      <c r="A21" s="1"/>
      <c r="B21" s="65" t="s">
        <v>207</v>
      </c>
      <c r="C21" s="9">
        <v>47238457</v>
      </c>
      <c r="D21" s="14" t="s">
        <v>3</v>
      </c>
      <c r="E21" s="1"/>
    </row>
    <row r="22" spans="1:5" x14ac:dyDescent="0.25">
      <c r="A22" s="1"/>
      <c r="B22" s="65" t="s">
        <v>29</v>
      </c>
      <c r="C22" s="9">
        <v>0</v>
      </c>
      <c r="D22" s="14" t="s">
        <v>3</v>
      </c>
      <c r="E22" s="1"/>
    </row>
    <row r="23" spans="1:5" x14ac:dyDescent="0.25">
      <c r="A23" s="1"/>
      <c r="B23" s="82" t="s">
        <v>208</v>
      </c>
      <c r="C23" s="57">
        <f>C20-C21-C22</f>
        <v>328518.19079688191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fNT2A/+2kQMY65r7LvImIlmBsbs2ayPXaCDRdKpXFbTc/+vQrW1C6np/wNqLoyXFgCoirMILjNou2kl95wptDA==" saltValue="b+lA4szU4Un/ZKndvZ66f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v>0</v>
      </c>
      <c r="D10" s="9" t="s">
        <v>3</v>
      </c>
      <c r="E10" s="1"/>
    </row>
    <row r="11" spans="1:5" x14ac:dyDescent="0.25">
      <c r="A11" s="1"/>
      <c r="B11" s="68" t="s">
        <v>104</v>
      </c>
      <c r="C11" s="9">
        <v>0</v>
      </c>
      <c r="D11" s="9" t="s">
        <v>3</v>
      </c>
      <c r="E11" s="1"/>
    </row>
    <row r="12" spans="1:5" x14ac:dyDescent="0.25">
      <c r="A12" s="1"/>
      <c r="B12" s="68" t="s">
        <v>105</v>
      </c>
      <c r="C12" s="9">
        <v>0</v>
      </c>
      <c r="D12" s="9" t="s">
        <v>3</v>
      </c>
      <c r="E12" s="1"/>
    </row>
    <row r="13" spans="1:5" x14ac:dyDescent="0.25">
      <c r="A13" s="1"/>
      <c r="B13" s="68" t="s">
        <v>106</v>
      </c>
      <c r="C13" s="9">
        <v>0</v>
      </c>
      <c r="D13" s="9" t="s">
        <v>3</v>
      </c>
      <c r="E13" s="1"/>
    </row>
    <row r="14" spans="1:5" x14ac:dyDescent="0.25">
      <c r="A14" s="1"/>
      <c r="B14" s="68" t="s">
        <v>107</v>
      </c>
      <c r="C14" s="9">
        <v>0</v>
      </c>
      <c r="D14" s="9" t="s">
        <v>3</v>
      </c>
      <c r="E14" s="1"/>
    </row>
    <row r="15" spans="1:5" x14ac:dyDescent="0.25">
      <c r="A15" s="1"/>
      <c r="B15" s="68" t="s">
        <v>108</v>
      </c>
      <c r="C15" s="9">
        <v>0</v>
      </c>
      <c r="D15" s="9" t="s">
        <v>3</v>
      </c>
      <c r="E15" s="1"/>
    </row>
    <row r="16" spans="1:5" x14ac:dyDescent="0.25">
      <c r="A16" s="1"/>
      <c r="B16" s="68" t="s">
        <v>109</v>
      </c>
      <c r="C16" s="9">
        <v>0</v>
      </c>
      <c r="D16" s="9" t="s">
        <v>3</v>
      </c>
      <c r="E16" s="1"/>
    </row>
    <row r="17" spans="1:5" x14ac:dyDescent="0.25">
      <c r="A17" s="1"/>
      <c r="B17" s="68" t="s">
        <v>110</v>
      </c>
      <c r="C17" s="9">
        <v>0</v>
      </c>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43SJYn+E8rj+orwQNLhVarbr5x9fSCD69emoKSXryvJD2cor/hz3Lq17SBmG4Al77hGKakPDQ0qDA2FGH9urQ==" saltValue="kWx9nBHUZ0F3ZmJ221quL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215</v>
      </c>
      <c r="C9" s="7">
        <v>0</v>
      </c>
      <c r="D9" s="8" t="s">
        <v>3</v>
      </c>
      <c r="E9" s="1"/>
    </row>
    <row r="10" spans="1:5" ht="14.25" customHeight="1" x14ac:dyDescent="0.25">
      <c r="A10" s="1"/>
      <c r="B10" s="65" t="s">
        <v>172</v>
      </c>
      <c r="C10" s="7">
        <v>0</v>
      </c>
      <c r="D10" s="8" t="s">
        <v>3</v>
      </c>
      <c r="E10" s="1"/>
    </row>
    <row r="11" spans="1:5" ht="14.25" customHeight="1" x14ac:dyDescent="0.25">
      <c r="A11" s="1"/>
      <c r="B11" s="82" t="s">
        <v>48</v>
      </c>
      <c r="C11" s="10">
        <f>C10-C9</f>
        <v>0</v>
      </c>
      <c r="D11" s="11" t="s">
        <v>3</v>
      </c>
      <c r="E11" s="1"/>
    </row>
    <row r="12" spans="1:5" ht="14.25" customHeight="1" x14ac:dyDescent="0.25">
      <c r="A12" s="1"/>
      <c r="B12" s="109" t="s">
        <v>217</v>
      </c>
      <c r="C12" s="110"/>
      <c r="D12" s="111"/>
      <c r="E12" s="1"/>
    </row>
    <row r="13" spans="1:5" ht="26.25" x14ac:dyDescent="0.25">
      <c r="A13" s="1"/>
      <c r="B13" s="79" t="s">
        <v>216</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B4lz1febxl4P5srPnh3ZpVsIU8pzAXhmYydoZs8A8w7iqg97IdGo0WRXnH0kc7bpr6+5Az46PeTQS3Qd/hj8g==" saltValue="1hGE1nabNbsuLB1LVW1pF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Hh333vcthgOPSXDe1iZLO9BvWP+NWgNMgSXiMMuPGyshfSAMPE1vWffFsowo9dXfNjp16J3nVE4oR+kKtzUXAQ==" saltValue="DcY24euEXw0OiKhjVeIXF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t5TvqEYBN0rLmTQp7/iUF31RFyfNKtMDE/OtIuEhQOMfAMKtDBxOBBWxzaupQDOWQd/TEz4qVI137kGLZkIdQ==" saltValue="hvpQPzdGAY7yiGKTceiu8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9Uu2i7iU37zsTWDT4e1Gp9Q3wkZXmAgsNFiRqddrpVJU0BQGIFwrckACmKdpADfPEP+qghsqiCi9SWzY7CHog==" saltValue="kFOcL0S8t8TlFxJsBhieg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iS8ryakx4aYWcLXooeQtWFWvvzmWhLfTA7Ly24BRb1BZsh4YgfjYXtBNSkf8m796Xz3BN/IOPELi2GYyyKDWAw==" saltValue="Cpuc2zHBZOf2lEj6d/tIt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U8fe5SaeswMPv6n7VEaOXbftSjl+OFtynYMPjSLHGHDfEOSEn0N/s3YFVh93Emi30HykleKruzd7o5UQUIpLtw==" saltValue="aHivRNysOLpnBOsWqz0yg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gsCTHj4DpE7sdxR2KHlqOeltogdO7V+mzsv4jCcOYLvJcZMJTvGYbB+uqnPphQPZ12uovkZ805GWbYliVRvmw==" saltValue="ZnMNlJrnsupXmxy5tcEpRQ=="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49179965.837164551</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3973741.2396428958</v>
      </c>
      <c r="D16" s="8" t="s">
        <v>3</v>
      </c>
      <c r="E16" s="1"/>
    </row>
    <row r="17" spans="1:5" ht="17.25" customHeight="1" x14ac:dyDescent="0.25">
      <c r="A17" s="1"/>
      <c r="B17" s="64" t="s">
        <v>10</v>
      </c>
      <c r="C17" s="38">
        <f>-SUM(C9,C10:C16)*'Fane 5. Individuelt eff. krav'!C9</f>
        <v>-1063074.141536149</v>
      </c>
      <c r="D17" s="8" t="s">
        <v>3</v>
      </c>
      <c r="E17" s="1"/>
    </row>
    <row r="18" spans="1:5" ht="17.25" customHeight="1" x14ac:dyDescent="0.25">
      <c r="A18" s="1"/>
      <c r="B18" s="64" t="s">
        <v>22</v>
      </c>
      <c r="C18" s="38">
        <f>-'Fane 4.1. Gen. krav - drift'!C17</f>
        <v>-388046.45153538487</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51702586.483735919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958014.37646296003</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52660600.860198878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77eMT+g4xcBrEr3G6sN6wlWuDNfxNLvs+ug4m7hfIrCn2xwPkoXpbWAqpkWngh8bhhC9fE91JPjcPCDbgQsPZQ==" saltValue="qFQd1l+vegVDBgLuAoV91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R2prX1VAXsA5VYwZBthEF4X8MqfMmI61y+DdRR/KKNy46WSF7LsuYAY94Xg52v+Nq1+1vP9rTWTsc6PrKPB+JA==" saltValue="0oYKDvWI6sVisFY5fS0K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51702586.483735919</v>
      </c>
      <c r="D9" s="8" t="s">
        <v>3</v>
      </c>
      <c r="E9" s="1"/>
    </row>
    <row r="10" spans="1:5" ht="15" customHeight="1" x14ac:dyDescent="0.25">
      <c r="A10" s="1"/>
      <c r="B10" s="26" t="s">
        <v>19</v>
      </c>
      <c r="C10" s="7">
        <f>C9*'Fane 15. Nøgletal'!C10</f>
        <v>3427881.4838716914</v>
      </c>
      <c r="D10" s="8" t="s">
        <v>3</v>
      </c>
      <c r="E10" s="1"/>
    </row>
    <row r="11" spans="1:5" ht="15" customHeight="1" x14ac:dyDescent="0.25">
      <c r="A11" s="1"/>
      <c r="B11" s="26" t="s">
        <v>10</v>
      </c>
      <c r="C11" s="9">
        <f>-SUM(C9:C10)*'Fane 5. Individuelt eff. krav'!C9</f>
        <v>-1102609.3593521523</v>
      </c>
      <c r="D11" s="8" t="s">
        <v>3</v>
      </c>
      <c r="E11" s="1"/>
    </row>
    <row r="12" spans="1:5" ht="15" customHeight="1" x14ac:dyDescent="0.25">
      <c r="A12" s="1"/>
      <c r="B12" s="26" t="s">
        <v>22</v>
      </c>
      <c r="C12" s="9">
        <f>-'Fane 4.1. Gen. krav - drift'!C22</f>
        <v>-405498.45264673728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53622360.155608721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1021530.7296224543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54643890.885231175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SAzjRS2ZAhWecTZubG7memZQ+4ugzaaJO3ko3L8ISYxpvjEuE2MZtKjUa8ckNuGE8L1B0ILS7buPVM9M5kymA==" saltValue="djmUzcC2pa7kg+Z2S+3Wr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53622360.155608721</v>
      </c>
      <c r="D9" s="8" t="s">
        <v>3</v>
      </c>
      <c r="E9" s="1"/>
    </row>
    <row r="10" spans="1:5" ht="15" customHeight="1" x14ac:dyDescent="0.25">
      <c r="A10" s="1"/>
      <c r="B10" s="26" t="s">
        <v>19</v>
      </c>
      <c r="C10" s="7">
        <f>SUM(C9:C9)*'Fane 15. Nøgletal'!C10</f>
        <v>3555162.4783168579</v>
      </c>
      <c r="D10" s="8" t="s">
        <v>3</v>
      </c>
      <c r="E10" s="1"/>
    </row>
    <row r="11" spans="1:5" ht="15" customHeight="1" x14ac:dyDescent="0.25">
      <c r="A11" s="1"/>
      <c r="B11" s="26" t="s">
        <v>10</v>
      </c>
      <c r="C11" s="9">
        <f>-SUM(C9:C10)*'Fane 5. Individuelt eff. krav'!C9</f>
        <v>-1143550.4526785116</v>
      </c>
      <c r="D11" s="8" t="s">
        <v>3</v>
      </c>
      <c r="E11" s="1"/>
    </row>
    <row r="12" spans="1:5" ht="15" customHeight="1" x14ac:dyDescent="0.25">
      <c r="A12" s="1"/>
      <c r="B12" s="26" t="s">
        <v>22</v>
      </c>
      <c r="C12" s="9">
        <f>-'Fane 4.1. Gen. krav - drift'!C27</f>
        <v>-423735.34005607164</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55610236.841191001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1089258.216996423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56699495.058187425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ETt78PblosR3opFgmG3ffoHzQZP2/Vk4v2FyV5JUHYwDMlRRI2/sG9WikLmOmvMF+2IWkAEWJpQYElx2KfPmw==" saltValue="yYj41UYzmY/vu7PVrNo93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55610236.841191001</v>
      </c>
      <c r="D9" s="8" t="s">
        <v>3</v>
      </c>
      <c r="E9" s="1"/>
    </row>
    <row r="10" spans="1:5" ht="15" customHeight="1" x14ac:dyDescent="0.25">
      <c r="A10" s="1"/>
      <c r="B10" s="26" t="s">
        <v>19</v>
      </c>
      <c r="C10" s="7">
        <f>SUM(C9:C9)*'Fane 15. Nøgletal'!C10</f>
        <v>3686958.7025709632</v>
      </c>
      <c r="D10" s="8" t="s">
        <v>3</v>
      </c>
      <c r="E10" s="1"/>
    </row>
    <row r="11" spans="1:5" ht="15" customHeight="1" x14ac:dyDescent="0.25">
      <c r="A11" s="1"/>
      <c r="B11" s="26" t="s">
        <v>10</v>
      </c>
      <c r="C11" s="9">
        <f>-SUM(C9:C10)*'Fane 5. Individuelt eff. krav'!C9</f>
        <v>-1185943.9108752392</v>
      </c>
      <c r="D11" s="8" t="s">
        <v>3</v>
      </c>
      <c r="E11" s="1"/>
    </row>
    <row r="12" spans="1:5" ht="15" customHeight="1" x14ac:dyDescent="0.25">
      <c r="A12" s="1"/>
      <c r="B12" s="26" t="s">
        <v>22</v>
      </c>
      <c r="C12" s="9">
        <f>-'Fane 4.1. Gen. krav - drift'!C32</f>
        <v>-442792.4132397534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57668459.219646968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1161476.0367832859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58829935.256430253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rbJkkAytoponcBoXyCR7ZleOnadfOBdGKqo60gpFd8e0P7fauiaQrKTByTGA34gQREqxb2YvYNzMYOu9dlOEw==" saltValue="/i9W2sL3le+gvziKAYuG7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46772570.73309353</v>
      </c>
      <c r="D9" s="8" t="s">
        <v>3</v>
      </c>
      <c r="E9" s="1"/>
    </row>
    <row r="10" spans="1:5" ht="15" customHeight="1" x14ac:dyDescent="0.25">
      <c r="A10" s="1"/>
      <c r="B10" s="64" t="s">
        <v>35</v>
      </c>
      <c r="C10" s="7">
        <v>2996.2261840000001</v>
      </c>
      <c r="D10" s="8" t="s">
        <v>3</v>
      </c>
      <c r="E10" s="1"/>
    </row>
    <row r="11" spans="1:5" ht="15" customHeight="1" x14ac:dyDescent="0.25">
      <c r="A11" s="1"/>
      <c r="B11" s="64" t="s">
        <v>36</v>
      </c>
      <c r="C11" s="9">
        <v>2263.3573200000001</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3779648.6895810803</v>
      </c>
      <c r="D16" s="8" t="s">
        <v>3</v>
      </c>
      <c r="E16" s="1"/>
    </row>
    <row r="17" spans="1:5" ht="15" customHeight="1" x14ac:dyDescent="0.25">
      <c r="A17" s="1"/>
      <c r="B17" s="64" t="s">
        <v>10</v>
      </c>
      <c r="C17" s="38">
        <v>-1011149.5801235724</v>
      </c>
      <c r="D17" s="8" t="s">
        <v>3</v>
      </c>
      <c r="E17" s="1"/>
    </row>
    <row r="18" spans="1:5" ht="15" customHeight="1" x14ac:dyDescent="0.25">
      <c r="A18" s="1"/>
      <c r="B18" s="64" t="s">
        <v>22</v>
      </c>
      <c r="C18" s="38">
        <v>-366363.58889049018</v>
      </c>
      <c r="D18" s="8" t="s">
        <v>3</v>
      </c>
      <c r="E18" s="1"/>
    </row>
    <row r="19" spans="1:5" ht="15" customHeight="1" x14ac:dyDescent="0.25">
      <c r="A19" s="1"/>
      <c r="B19" s="64" t="s">
        <v>23</v>
      </c>
      <c r="C19" s="38">
        <v>0</v>
      </c>
      <c r="D19" s="8" t="s">
        <v>3</v>
      </c>
      <c r="E19" s="43"/>
    </row>
    <row r="20" spans="1:5" ht="15" customHeight="1" x14ac:dyDescent="0.25">
      <c r="A20" s="1"/>
      <c r="B20" s="82" t="s">
        <v>21</v>
      </c>
      <c r="C20" s="10">
        <v>49179965.837164551</v>
      </c>
      <c r="D20" s="11" t="s">
        <v>3</v>
      </c>
      <c r="E20" s="1"/>
    </row>
    <row r="21" spans="1:5" ht="15" customHeight="1" x14ac:dyDescent="0.25">
      <c r="A21" s="1"/>
      <c r="B21" s="33" t="s">
        <v>12</v>
      </c>
      <c r="C21" s="28"/>
      <c r="D21" s="19"/>
      <c r="E21" s="1"/>
    </row>
    <row r="22" spans="1:5" ht="15" customHeight="1" x14ac:dyDescent="0.25">
      <c r="A22" s="1"/>
      <c r="B22" s="31" t="s">
        <v>12</v>
      </c>
      <c r="C22" s="10">
        <v>870231.30609855999</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50050197.143263109</v>
      </c>
      <c r="D37" s="30" t="s">
        <v>3</v>
      </c>
      <c r="E37" s="1"/>
    </row>
    <row r="38" spans="1:5" ht="30" customHeight="1" x14ac:dyDescent="0.25">
      <c r="A38" s="1"/>
      <c r="B38" s="108" t="s">
        <v>223</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mwjlr5rL4mFZyymlsNCfjh7ioODWErKWlq/R64vI8iO1tp+lN6IIQRMMV4yDXMv2uceEWD1JVuQqVGpywevL4g==" saltValue="4F1gTf7dguqMntrWj2KUa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18314941.123264838</v>
      </c>
      <c r="D9" s="14" t="s">
        <v>3</v>
      </c>
      <c r="E9" s="1"/>
    </row>
    <row r="10" spans="1:5" x14ac:dyDescent="0.25">
      <c r="A10" s="1"/>
      <c r="B10" s="65" t="s">
        <v>125</v>
      </c>
      <c r="C10" s="23">
        <f>('Fane 3. Omkostninger i ØR2024'!C10+'Fane 3. Omkostninger i ØR2024'!C12+'Fane 3. Omkostninger i ØR2024'!C14)*(1+'Fane 15. Nøgletal'!C9)</f>
        <v>3238.3212596672001</v>
      </c>
      <c r="D10" s="14" t="s">
        <v>3</v>
      </c>
      <c r="E10" s="1"/>
    </row>
    <row r="11" spans="1:5" x14ac:dyDescent="0.25">
      <c r="A11" s="1"/>
      <c r="B11" s="65" t="s">
        <v>131</v>
      </c>
      <c r="C11" s="23">
        <f>C9*'Fane 15. Nøgletal'!C21+C10*'Fane 15. Nøgletal'!C21</f>
        <v>366363.58889049012</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19402322.576769244</v>
      </c>
      <c r="D15" s="14" t="s">
        <v>3</v>
      </c>
      <c r="E15" s="1"/>
    </row>
    <row r="16" spans="1:5" x14ac:dyDescent="0.25">
      <c r="A16" s="1"/>
      <c r="B16" s="65" t="s">
        <v>184</v>
      </c>
      <c r="C16" s="8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388046.45153538487</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20274922.632336862</v>
      </c>
      <c r="D21" s="14" t="s">
        <v>3</v>
      </c>
      <c r="E21" s="1"/>
    </row>
    <row r="22" spans="1:5" x14ac:dyDescent="0.25">
      <c r="A22" s="1"/>
      <c r="B22" s="65" t="s">
        <v>196</v>
      </c>
      <c r="C22" s="23">
        <f>C21*'Fane 15. Nøgletal'!C21</f>
        <v>405498.45264673728</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21186767.002803583</v>
      </c>
      <c r="D26" s="14" t="s">
        <v>3</v>
      </c>
      <c r="E26" s="1"/>
    </row>
    <row r="27" spans="1:5" x14ac:dyDescent="0.25">
      <c r="A27" s="1"/>
      <c r="B27" s="65" t="s">
        <v>194</v>
      </c>
      <c r="C27" s="23">
        <f>C26*'Fane 15. Nøgletal'!C21</f>
        <v>423735.34005607164</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22139620.66198767</v>
      </c>
      <c r="D31" s="14" t="s">
        <v>3</v>
      </c>
      <c r="E31" s="1"/>
    </row>
    <row r="32" spans="1:5" x14ac:dyDescent="0.25">
      <c r="A32" s="1"/>
      <c r="B32" s="65" t="s">
        <v>195</v>
      </c>
      <c r="C32" s="23">
        <f>C31*'Fane 15. Nøgletal'!C21</f>
        <v>442792.4132397534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0FvJXOZdDGUbE1K/IbM0BY6TLDtHG5PsFX62twyLk+KUc5la5XLi3kyKWyl7Bei4N5WKWX79ULwYfOyVodw0g==" saltValue="kZB3vt0VUeJtEYWKGqvD4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37589940.420031339</v>
      </c>
      <c r="D9" s="14" t="s">
        <v>3</v>
      </c>
      <c r="E9" s="1"/>
    </row>
    <row r="10" spans="1:5" x14ac:dyDescent="0.25">
      <c r="A10" s="1"/>
      <c r="B10" s="65" t="s">
        <v>126</v>
      </c>
      <c r="C10" s="23">
        <f>('Fane 3. Omkostninger i ØR2024'!C11+'Fane 3. Omkostninger i ØR2024'!C13+'Fane 3. Omkostninger i ØR2024'!C15)*(1+'Fane 15. Nøgletal'!C9)</f>
        <v>2446.236591456</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40629851.498477921</v>
      </c>
      <c r="D15" s="14" t="s">
        <v>3</v>
      </c>
      <c r="E15" s="1"/>
    </row>
    <row r="16" spans="1:5" x14ac:dyDescent="0.25">
      <c r="A16" s="1"/>
      <c r="B16" s="65" t="s">
        <v>185</v>
      </c>
      <c r="C16" s="83">
        <f>('Fane 2.1. Økonomisk ramme 2025'!C11+'Fane 2.1. Økonomisk ramme 2025'!C13+'Fane 2.1. Økonomisk ramme 2025'!C15)*(1+'Fane 15. Nøgletal'!C10)</f>
        <v>0</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43323610.65282701</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46195966.039109439</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49258758.587502398</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PIYOongcHFO2QqiZnUV7v0QkXAxrpBOPfHt4KXRUnKW+xfIMV63DTAWw1xEu31N/8ndlfkedVJ6+H24A5/NXew==" saltValue="5SybzbwNurwyMJeraGptD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0.02</v>
      </c>
      <c r="D9" s="1"/>
    </row>
    <row r="10" spans="1:4" x14ac:dyDescent="0.25">
      <c r="A10" s="1"/>
      <c r="B10" s="33"/>
      <c r="C10" s="19"/>
      <c r="D10" s="1"/>
    </row>
    <row r="11" spans="1:4" x14ac:dyDescent="0.25">
      <c r="A11" s="1"/>
      <c r="B11" s="113" t="s">
        <v>218</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fOYjFHOb3s9riJGW51px1xpRt1Fyd7RSCdd4HqOVMCWqCtxrQ1pzYyQGL+SHiShcqNWV9dkSSEbodluG7VUCLg==" saltValue="gVARH6ATWBVFG9jASiQHh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2024-08-14T10:57:25Z</dcterms:modified>
</cp:coreProperties>
</file>