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Køge Vand AS (V116)\ØR2025\"/>
    </mc:Choice>
  </mc:AlternateContent>
  <xr:revisionPtr revIDLastSave="0" documentId="13_ncr:1_{204C8BDD-4D25-4859-9B81-C0858EA3B79C}"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ØR2024'!$C$36</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ØR2024'!$B$8:$D$36</definedName>
    <definedName name="ØR24total">'Fane 3. Omkostninger i ØR2024'!$C$36</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<sst xmlns="http://schemas.openxmlformats.org/spreadsheetml/2006/main" count="451" uniqueCount="206">
  <si>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</si>
  <si>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</si>
  <si>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</si>
  <si>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</si>
  <si>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</si>
  <si>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</si>
  <si>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</si>
  <si>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</si>
  <si>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</si>
  <si>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</si>
  <si>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</si>
  <si>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</si>
  <si>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</si>
  <si>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</si>
  <si>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</si>
  <si>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</si>
  <si>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</si>
  <si>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</si>
  <si>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</si>
  <si>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</si>
  <si>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</si>
  <si>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</si>
  <si>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</si>
  <si>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</si>
  <si>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</si>
  <si>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</si>
  <si>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</si>
  <si>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</si>
  <si>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</si>
  <si>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</si>
  <si>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</si>
  <si>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</si>
  <si>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</si>
  <si>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</si>
  <si>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</si>
  <si>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</si>
  <si>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</si>
  <si>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</si>
  <si>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</si>
  <si>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</si>
  <si>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</si>
  <si>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</si>
  <si>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</si>
  <si>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</si>
  <si>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</si>
  <si>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</si>
  <si>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</si>
  <si>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</si>
  <si>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</si>
  <si>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</si>
  <si>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</si>
  <si>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</si>
  <si>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</si>
  <si>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</si>
  <si>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</si>
  <si>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</si>
  <si>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</si>
  <si>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</si>
  <si>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</si>
  <si>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</si>
  <si>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</si>
  <si>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</si>
  <si>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</si>
  <si>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</si>
  <si>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</si>
  <si>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</si>
  <si>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</si>
  <si>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</si>
  <si>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</si>
  <si>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</si>
  <si>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</si>
  <si>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</si>
  <si>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</si>
  <si>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</si>
  <si>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</si>
  <si>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</si>
  <si>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</si>
  <si>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</si>
  <si>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</si>
  <si>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</si>
  <si>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</si>
  <si>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</si>
  <si>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</si>
  <si>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</si>
  <si>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</si>
  <si>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</si>
  <si>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</si>
  <si>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</si>
  <si>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</si>
  <si>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</si>
  <si>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</si>
  <si>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</si>
  <si>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</si>
  <si>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</si>
  <si>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</si>
  <si>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</si>
  <si>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</si>
  <si>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</si>
  <si>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</si>
  <si>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</si>
  <si>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</si>
  <si>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</si>
  <si>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</si>
  <si>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</si>
  <si>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</si>
  <si>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</si>
  <si>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</si>
  <si>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</si>
  <si>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</si>
  <si>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</si>
  <si>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</si>
  <si>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</si>
  <si>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</si>
  <si>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</si>
  <si>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</si>
  <si>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</si>
  <si>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</si>
  <si>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</si>
  <si>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</si>
  <si>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</si>
  <si>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</si>
  <si>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</si>
  <si>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</si>
  <si>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</si>
  <si>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</si>
  <si>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</si>
  <si>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</si>
  <si>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</si>
  <si>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</si>
  <si>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</si>
  <si>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</si>
  <si>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</si>
  <si>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</si>
  <si>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</si>
  <si>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</si>
  <si>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</si>
  <si>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</si>
  <si>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</si>
  <si>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</si>
  <si>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</si>
  <si>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</si>
  <si>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</si>
  <si>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</si>
  <si>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</si>
  <si>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</si>
  <si>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</si>
  <si>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</si>
  <si>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</si>
  <si>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</si>
  <si>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</si>
  <si>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</si>
  <si>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</si>
  <si>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</si>
  <si>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</si>
  <si>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</si>
  <si>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</si>
  <si>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</si>
  <si>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</si>
  <si>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</si>
  <si>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</si>
  <si>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</si>
  <si>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</si>
  <si>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</si>
  <si>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</si>
  <si>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</si>
  <si>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</si>
  <si>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</si>
  <si>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</si>
  <si>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</si>
  <si>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</si>
  <si>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</si>
  <si>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</si>
  <si>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</si>
  <si>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</si>
  <si>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</si>
  <si>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</si>
  <si>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</si>
  <si>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</si>
  <si>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</si>
  <si>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</si>
  <si>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</si>
  <si>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</si>
  <si>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</si>
  <si>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</si>
  <si>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</si>
  <si>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</si>
  <si>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</si>
  <si>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</si>
  <si>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</si>
  <si>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</si>
  <si>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</si>
  <si>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</si>
  <si>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</si>
  <si>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Justering af den økonomiske ramme</t>
  </si>
  <si>
    <t>Justering af den økonomiske ramme for stigende el-omkostninger</t>
  </si>
  <si>
    <t xml:space="preserve">Note: Denne opgørelse er taget fra jeres økonomiske ramme for 2024. 
I kan derfor ikke komme med høringssvar til denne opgørelse. </t>
  </si>
  <si>
    <t>Herfølge Syd</t>
  </si>
  <si>
    <t>Køge Jorddepot</t>
  </si>
  <si>
    <t>Køge Kyst</t>
  </si>
  <si>
    <t>Ingen engangstillæg</t>
  </si>
  <si>
    <t>Prisudvikling til brug for ØR2025-2026</t>
  </si>
  <si>
    <t>Generelt effektiviseringskrav til brug for anlægsomkostninger i ØR2025-2026</t>
  </si>
  <si>
    <t>Til økonomisk ramme for 2025-2026</t>
  </si>
  <si>
    <t>Afgift for ledningsført vand</t>
  </si>
  <si>
    <t>Afgift til Forsyningssekretariatet</t>
  </si>
  <si>
    <t>Ejendomsskatter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</si>
</sst>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1" fontId="8" fillId="0"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8" t="s">
        <v>4</v>
      </c>
      <c r="D6" s="88"/>
      <c r="E6" s="88"/>
      <c r="F6" s="88"/>
      <c r="G6" s="1"/>
    </row>
    <row r="7" spans="1:7" ht="15" customHeight="1" x14ac:dyDescent="0.25">
      <c r="A7" s="1"/>
      <c r="B7" s="3"/>
      <c r="C7" s="88"/>
      <c r="D7" s="88"/>
      <c r="E7" s="88"/>
      <c r="F7" s="88"/>
      <c r="G7" s="1"/>
    </row>
    <row r="8" spans="1:7" ht="15.75" x14ac:dyDescent="0.25">
      <c r="A8" s="1"/>
      <c r="B8" s="4"/>
      <c r="C8" s="90" t="s">
        <v>202</v>
      </c>
      <c r="D8" s="90"/>
      <c r="E8" s="90"/>
      <c r="F8" s="90"/>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9" t="s">
        <v>5</v>
      </c>
      <c r="D11" s="89"/>
      <c r="E11" s="89"/>
      <c r="F11" s="89"/>
      <c r="G11" s="1"/>
    </row>
    <row r="12" spans="1:7" x14ac:dyDescent="0.25">
      <c r="A12" s="1"/>
      <c r="B12" s="1"/>
      <c r="C12" s="1"/>
      <c r="D12" s="1"/>
      <c r="E12" s="1"/>
      <c r="F12" s="1"/>
      <c r="G12" s="1"/>
    </row>
    <row r="13" spans="1:7" x14ac:dyDescent="0.25">
      <c r="A13" s="1"/>
      <c r="B13" s="6" t="s">
        <v>6</v>
      </c>
      <c r="C13" s="85" t="s">
        <v>124</v>
      </c>
      <c r="D13" s="86"/>
      <c r="E13" s="86"/>
      <c r="F13" s="87"/>
      <c r="G13" s="1"/>
    </row>
    <row r="14" spans="1:7" x14ac:dyDescent="0.25">
      <c r="A14" s="1"/>
      <c r="B14" s="6" t="s">
        <v>14</v>
      </c>
      <c r="C14" s="85" t="s">
        <v>159</v>
      </c>
      <c r="D14" s="86"/>
      <c r="E14" s="86"/>
      <c r="F14" s="87"/>
      <c r="G14" s="1"/>
    </row>
    <row r="15" spans="1:7" x14ac:dyDescent="0.25">
      <c r="A15" s="1"/>
      <c r="B15" s="6" t="s">
        <v>29</v>
      </c>
      <c r="C15" s="85" t="s">
        <v>107</v>
      </c>
      <c r="D15" s="86"/>
      <c r="E15" s="86"/>
      <c r="F15" s="87"/>
      <c r="G15" s="1"/>
    </row>
    <row r="16" spans="1:7" x14ac:dyDescent="0.25">
      <c r="A16" s="1"/>
      <c r="B16" s="6" t="s">
        <v>30</v>
      </c>
      <c r="C16" s="85" t="s">
        <v>125</v>
      </c>
      <c r="D16" s="86"/>
      <c r="E16" s="86"/>
      <c r="F16" s="87"/>
      <c r="G16" s="1"/>
    </row>
    <row r="17" spans="1:7" x14ac:dyDescent="0.25">
      <c r="A17" s="1"/>
      <c r="B17" s="6" t="s">
        <v>57</v>
      </c>
      <c r="C17" s="85" t="s">
        <v>126</v>
      </c>
      <c r="D17" s="86"/>
      <c r="E17" s="86"/>
      <c r="F17" s="87"/>
      <c r="G17" s="1"/>
    </row>
    <row r="18" spans="1:7" x14ac:dyDescent="0.25">
      <c r="A18" s="1"/>
      <c r="B18" s="6" t="s">
        <v>49</v>
      </c>
      <c r="C18" s="91" t="s">
        <v>42</v>
      </c>
      <c r="D18" s="92"/>
      <c r="E18" s="92"/>
      <c r="F18" s="93"/>
      <c r="G18" s="1"/>
    </row>
    <row r="19" spans="1:7" x14ac:dyDescent="0.25">
      <c r="A19" s="1"/>
      <c r="B19" s="6" t="s">
        <v>50</v>
      </c>
      <c r="C19" s="91" t="s">
        <v>43</v>
      </c>
      <c r="D19" s="92"/>
      <c r="E19" s="92"/>
      <c r="F19" s="93"/>
      <c r="G19" s="1"/>
    </row>
    <row r="20" spans="1:7" x14ac:dyDescent="0.25">
      <c r="A20" s="1"/>
      <c r="B20" s="6" t="s">
        <v>7</v>
      </c>
      <c r="C20" s="91" t="s">
        <v>9</v>
      </c>
      <c r="D20" s="92"/>
      <c r="E20" s="92"/>
      <c r="F20" s="93"/>
      <c r="G20" s="1"/>
    </row>
    <row r="21" spans="1:7" x14ac:dyDescent="0.25">
      <c r="A21" s="1"/>
      <c r="B21" s="6" t="s">
        <v>51</v>
      </c>
      <c r="C21" s="82" t="s">
        <v>11</v>
      </c>
      <c r="D21" s="83"/>
      <c r="E21" s="83"/>
      <c r="F21" s="84"/>
      <c r="G21" s="1"/>
    </row>
    <row r="22" spans="1:7" x14ac:dyDescent="0.25">
      <c r="A22" s="1"/>
      <c r="B22" s="6" t="s">
        <v>37</v>
      </c>
      <c r="C22" s="76" t="s">
        <v>127</v>
      </c>
      <c r="D22" s="77"/>
      <c r="E22" s="77"/>
      <c r="F22" s="78"/>
      <c r="G22" s="1"/>
    </row>
    <row r="23" spans="1:7" x14ac:dyDescent="0.25">
      <c r="A23" s="1"/>
      <c r="B23" s="6" t="s">
        <v>8</v>
      </c>
      <c r="C23" s="76" t="s">
        <v>89</v>
      </c>
      <c r="D23" s="77"/>
      <c r="E23" s="77"/>
      <c r="F23" s="78"/>
      <c r="G23" s="1"/>
    </row>
    <row r="24" spans="1:7" x14ac:dyDescent="0.25">
      <c r="A24" s="1"/>
      <c r="B24" s="6" t="s">
        <v>85</v>
      </c>
      <c r="C24" s="76" t="s">
        <v>78</v>
      </c>
      <c r="D24" s="77"/>
      <c r="E24" s="77"/>
      <c r="F24" s="78"/>
      <c r="G24" s="1"/>
    </row>
    <row r="25" spans="1:7" x14ac:dyDescent="0.25">
      <c r="A25" s="1"/>
      <c r="B25" s="6" t="s">
        <v>86</v>
      </c>
      <c r="C25" s="76" t="s">
        <v>38</v>
      </c>
      <c r="D25" s="77"/>
      <c r="E25" s="77"/>
      <c r="F25" s="78"/>
      <c r="G25" s="1"/>
    </row>
    <row r="26" spans="1:7" x14ac:dyDescent="0.25">
      <c r="A26" s="1"/>
      <c r="B26" s="6" t="s">
        <v>87</v>
      </c>
      <c r="C26" s="76" t="s">
        <v>39</v>
      </c>
      <c r="D26" s="77"/>
      <c r="E26" s="77"/>
      <c r="F26" s="78"/>
      <c r="G26" s="1"/>
    </row>
    <row r="27" spans="1:7" x14ac:dyDescent="0.25">
      <c r="A27" s="1"/>
      <c r="B27" s="6" t="s">
        <v>52</v>
      </c>
      <c r="C27" s="76" t="s">
        <v>58</v>
      </c>
      <c r="D27" s="77"/>
      <c r="E27" s="77"/>
      <c r="F27" s="78"/>
      <c r="G27" s="1"/>
    </row>
    <row r="28" spans="1:7" x14ac:dyDescent="0.25">
      <c r="A28" s="1"/>
      <c r="B28" s="6" t="s">
        <v>46</v>
      </c>
      <c r="C28" s="76" t="s">
        <v>31</v>
      </c>
      <c r="D28" s="77"/>
      <c r="E28" s="77"/>
      <c r="F28" s="78"/>
      <c r="G28" s="1"/>
    </row>
    <row r="29" spans="1:7" x14ac:dyDescent="0.25">
      <c r="A29" s="1"/>
      <c r="B29" s="6" t="s">
        <v>88</v>
      </c>
      <c r="C29" s="79" t="s">
        <v>47</v>
      </c>
      <c r="D29" s="80"/>
      <c r="E29" s="80"/>
      <c r="F29" s="8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ap/NX1KYuAidF4SQVWvVpTbHBlhc/uXApqmHRrzmJsq/aiD7IJnoWLzWYsr9se4RUwpMqWcORPZqV77fMalYLw==" saltValue="YT05z/Hi+tlalfFIh/78oQ==" spinCount="100000" sheet="1" objects="1" scenarios="1"/>
  <mergeCells count="20">
    <mergeCell ref="C14:F14"/>
    <mergeCell ref="C6:F7"/>
    <mergeCell ref="C22:F22"/>
    <mergeCell ref="C11:F11"/>
    <mergeCell ref="C8:F8"/>
    <mergeCell ref="C15:F15"/>
    <mergeCell ref="C16:F16"/>
    <mergeCell ref="C13:F13"/>
    <mergeCell ref="C17:F17"/>
    <mergeCell ref="C18:F18"/>
    <mergeCell ref="C19:F19"/>
    <mergeCell ref="C20:F20"/>
    <mergeCell ref="C28:F28"/>
    <mergeCell ref="C29:F29"/>
    <mergeCell ref="C21:F21"/>
    <mergeCell ref="C24:F24"/>
    <mergeCell ref="C25:F25"/>
    <mergeCell ref="C27:F27"/>
    <mergeCell ref="C26:F26"/>
    <mergeCell ref="C23:F23"/>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55</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142</v>
      </c>
      <c r="C8" s="99"/>
      <c r="D8" s="100"/>
      <c r="E8" s="1"/>
    </row>
    <row r="9" spans="1:5" ht="15" customHeight="1" x14ac:dyDescent="0.25">
      <c r="A9" s="1"/>
      <c r="B9" s="51" t="s">
        <v>27</v>
      </c>
      <c r="C9" s="45" t="s">
        <v>145</v>
      </c>
      <c r="D9" s="11"/>
      <c r="E9" s="1"/>
    </row>
    <row r="10" spans="1:5" ht="15" customHeight="1" x14ac:dyDescent="0.25">
      <c r="A10" s="1"/>
      <c r="B10" s="64" t="s">
        <v>203</v>
      </c>
      <c r="C10" s="65">
        <v>9561834</v>
      </c>
      <c r="D10" s="14" t="s">
        <v>3</v>
      </c>
      <c r="E10" s="1"/>
    </row>
    <row r="11" spans="1:5" x14ac:dyDescent="0.25">
      <c r="A11" s="1"/>
      <c r="B11" s="64" t="s">
        <v>204</v>
      </c>
      <c r="C11" s="65">
        <v>72364</v>
      </c>
      <c r="D11" s="14" t="s">
        <v>3</v>
      </c>
      <c r="E11" s="1"/>
    </row>
    <row r="12" spans="1:5" x14ac:dyDescent="0.25">
      <c r="A12" s="1"/>
      <c r="B12" s="64" t="s">
        <v>205</v>
      </c>
      <c r="C12" s="65">
        <v>17096</v>
      </c>
      <c r="D12" s="14" t="s">
        <v>3</v>
      </c>
      <c r="E12" s="1"/>
    </row>
    <row r="13" spans="1:5" x14ac:dyDescent="0.25">
      <c r="A13" s="1"/>
      <c r="B13" s="64"/>
      <c r="C13" s="65"/>
      <c r="D13" s="14" t="s">
        <v>3</v>
      </c>
      <c r="E13" s="1"/>
    </row>
    <row r="14" spans="1:5" x14ac:dyDescent="0.25">
      <c r="A14" s="1"/>
      <c r="B14" s="64"/>
      <c r="C14" s="65"/>
      <c r="D14" s="14" t="s">
        <v>3</v>
      </c>
      <c r="E14" s="1"/>
    </row>
    <row r="15" spans="1:5" x14ac:dyDescent="0.25">
      <c r="A15" s="1"/>
      <c r="B15" s="64"/>
      <c r="C15" s="65"/>
      <c r="D15" s="14" t="s">
        <v>3</v>
      </c>
      <c r="E15" s="1"/>
    </row>
    <row r="16" spans="1:5" x14ac:dyDescent="0.25">
      <c r="A16" s="1"/>
      <c r="B16" s="64"/>
      <c r="C16" s="65"/>
      <c r="D16" s="14" t="s">
        <v>3</v>
      </c>
      <c r="E16" s="1"/>
    </row>
    <row r="17" spans="1:5" x14ac:dyDescent="0.25">
      <c r="A17" s="1"/>
      <c r="B17" s="64"/>
      <c r="C17" s="65"/>
      <c r="D17" s="14" t="s">
        <v>3</v>
      </c>
      <c r="E17" s="1"/>
    </row>
    <row r="18" spans="1:5" x14ac:dyDescent="0.25">
      <c r="A18" s="1"/>
      <c r="B18" s="64"/>
      <c r="C18" s="65"/>
      <c r="D18" s="14" t="s">
        <v>3</v>
      </c>
      <c r="E18" s="1"/>
    </row>
    <row r="19" spans="1:5" x14ac:dyDescent="0.25">
      <c r="A19" s="1"/>
      <c r="B19" s="52" t="s">
        <v>143</v>
      </c>
      <c r="C19" s="12">
        <f>SUM(C10:C18)</f>
        <v>9651294</v>
      </c>
      <c r="D19" s="13" t="s">
        <v>3</v>
      </c>
      <c r="E19" s="1"/>
    </row>
    <row r="20" spans="1:5" x14ac:dyDescent="0.25">
      <c r="A20" s="1"/>
      <c r="B20" s="52" t="s">
        <v>144</v>
      </c>
      <c r="C20" s="12">
        <f>C19*(1+'Fane 13. Nøgletal'!C11)^2</f>
        <v>10973479.68092286</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FEtL0ZGao9OEFaKVRxs4Ydi9rwgsStpppwfJhfoVtaRLinbU7Mq1qSfCXMoWyAwRCy/5kumiAaSolot1E7Ivrg==" saltValue="b8W4wINyuZZHVqX/X+8s3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172</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7"/>
      <c r="C6" s="67"/>
      <c r="D6" s="67"/>
      <c r="E6" s="1"/>
    </row>
    <row r="7" spans="1:5" x14ac:dyDescent="0.25">
      <c r="A7" s="1"/>
      <c r="B7" s="1"/>
      <c r="C7" s="1"/>
      <c r="D7" s="1"/>
      <c r="E7" s="1"/>
    </row>
    <row r="8" spans="1:5" x14ac:dyDescent="0.25">
      <c r="A8" s="1"/>
      <c r="B8" s="98" t="s">
        <v>175</v>
      </c>
      <c r="C8" s="99"/>
      <c r="D8" s="100"/>
      <c r="E8" s="1"/>
    </row>
    <row r="9" spans="1:5" x14ac:dyDescent="0.25">
      <c r="A9" s="1"/>
      <c r="B9" s="56" t="s">
        <v>176</v>
      </c>
      <c r="C9" s="9">
        <v>91618.34603036195</v>
      </c>
      <c r="D9" s="39" t="s">
        <v>3</v>
      </c>
      <c r="E9" s="1"/>
    </row>
    <row r="10" spans="1:5" x14ac:dyDescent="0.25">
      <c r="A10" s="1"/>
      <c r="B10" s="56" t="s">
        <v>174</v>
      </c>
      <c r="C10" s="9">
        <v>-1069281.2853793912</v>
      </c>
      <c r="D10" s="14" t="s">
        <v>3</v>
      </c>
      <c r="E10" s="1"/>
    </row>
    <row r="11" spans="1:5" x14ac:dyDescent="0.25">
      <c r="A11" s="1"/>
      <c r="B11" s="52"/>
      <c r="C11" s="53"/>
      <c r="D11" s="19"/>
      <c r="E11" s="1"/>
    </row>
    <row r="12" spans="1:5" ht="53.85" customHeight="1" x14ac:dyDescent="0.25">
      <c r="A12" s="1"/>
      <c r="B12" s="107" t="s">
        <v>173</v>
      </c>
      <c r="C12" s="108"/>
      <c r="D12" s="109"/>
      <c r="E12" s="1"/>
    </row>
    <row r="13" spans="1:5" x14ac:dyDescent="0.25">
      <c r="A13" s="1"/>
      <c r="B13" s="1"/>
      <c r="C13" s="1"/>
      <c r="D13" s="1"/>
      <c r="E13" s="1"/>
    </row>
    <row r="14" spans="1:5" x14ac:dyDescent="0.25">
      <c r="A14" s="1"/>
      <c r="B14" s="68" t="s">
        <v>177</v>
      </c>
      <c r="C14" s="69"/>
      <c r="D14" s="70"/>
      <c r="E14" s="1"/>
    </row>
    <row r="15" spans="1:5" x14ac:dyDescent="0.25">
      <c r="A15" s="1"/>
      <c r="B15" s="56" t="s">
        <v>178</v>
      </c>
      <c r="C15" s="9">
        <f>IF(C10&lt;0,C10,0)</f>
        <v>-1069281.2853793912</v>
      </c>
      <c r="D15" s="14" t="s">
        <v>3</v>
      </c>
      <c r="E15" s="1"/>
    </row>
    <row r="16" spans="1:5" x14ac:dyDescent="0.25">
      <c r="A16" s="1"/>
      <c r="B16" s="56" t="s">
        <v>185</v>
      </c>
      <c r="C16" s="9">
        <f>IF(SUM(C9)&gt;0,SUM(C9),0)</f>
        <v>91618.34603036195</v>
      </c>
      <c r="D16" s="14" t="s">
        <v>3</v>
      </c>
      <c r="E16" s="1"/>
    </row>
    <row r="17" spans="1:5" ht="26.25" x14ac:dyDescent="0.25">
      <c r="A17" s="1"/>
      <c r="B17" s="71" t="s">
        <v>179</v>
      </c>
      <c r="C17" s="62">
        <f>IF(SUM(C15:C16)&gt;0,0,SUM(C15:C16))</f>
        <v>-977662.93934902921</v>
      </c>
      <c r="D17" s="17" t="s">
        <v>3</v>
      </c>
      <c r="E17" s="1"/>
    </row>
    <row r="18" spans="1:5" x14ac:dyDescent="0.25">
      <c r="A18" s="1"/>
      <c r="B18" s="52"/>
      <c r="C18" s="53"/>
      <c r="D18" s="19"/>
      <c r="E18" s="1"/>
    </row>
    <row r="19" spans="1:5" x14ac:dyDescent="0.25">
      <c r="A19" s="1"/>
      <c r="B19" s="1"/>
      <c r="C19" s="1"/>
      <c r="D19" s="1"/>
      <c r="E19" s="1"/>
    </row>
    <row r="20" spans="1:5" x14ac:dyDescent="0.25">
      <c r="A20" s="1"/>
      <c r="B20" s="68" t="s">
        <v>180</v>
      </c>
      <c r="C20" s="69"/>
      <c r="D20" s="70"/>
      <c r="E20" s="1"/>
    </row>
    <row r="21" spans="1:5" x14ac:dyDescent="0.25">
      <c r="A21" s="1"/>
      <c r="B21" s="56" t="s">
        <v>181</v>
      </c>
      <c r="C21" s="9">
        <v>33847178.153095402</v>
      </c>
      <c r="D21" s="14" t="s">
        <v>3</v>
      </c>
      <c r="E21" s="1"/>
    </row>
    <row r="22" spans="1:5" x14ac:dyDescent="0.25">
      <c r="A22" s="1"/>
      <c r="B22" s="56" t="s">
        <v>182</v>
      </c>
      <c r="C22" s="9">
        <v>33190602</v>
      </c>
      <c r="D22" s="14" t="s">
        <v>3</v>
      </c>
      <c r="E22" s="1"/>
    </row>
    <row r="23" spans="1:5" x14ac:dyDescent="0.25">
      <c r="A23" s="1"/>
      <c r="B23" s="56" t="s">
        <v>28</v>
      </c>
      <c r="C23" s="9">
        <v>0</v>
      </c>
      <c r="D23" s="14" t="s">
        <v>3</v>
      </c>
      <c r="E23" s="1"/>
    </row>
    <row r="24" spans="1:5" x14ac:dyDescent="0.25">
      <c r="A24" s="1"/>
      <c r="B24" s="73" t="s">
        <v>183</v>
      </c>
      <c r="C24" s="46">
        <f>C21-C22-C23</f>
        <v>656576.15309540182</v>
      </c>
      <c r="D24" s="17" t="s">
        <v>3</v>
      </c>
      <c r="E24" s="1"/>
    </row>
    <row r="25" spans="1:5" x14ac:dyDescent="0.25">
      <c r="A25" s="1"/>
      <c r="B25" s="52"/>
      <c r="C25" s="53"/>
      <c r="D25" s="19"/>
      <c r="E25" s="1"/>
    </row>
    <row r="26" spans="1:5" x14ac:dyDescent="0.25">
      <c r="A26" s="1"/>
      <c r="B26" s="1"/>
      <c r="C26" s="1"/>
      <c r="D26" s="1"/>
      <c r="E26" s="1"/>
    </row>
    <row r="27" spans="1:5" x14ac:dyDescent="0.25">
      <c r="A27" s="1"/>
      <c r="B27" s="98" t="s">
        <v>184</v>
      </c>
      <c r="C27" s="99"/>
      <c r="D27" s="100"/>
      <c r="E27" s="1"/>
    </row>
    <row r="28" spans="1:5" x14ac:dyDescent="0.25">
      <c r="A28" s="1"/>
      <c r="B28" s="57" t="s">
        <v>65</v>
      </c>
      <c r="C28" s="9">
        <f>IF(C17&lt;0,IF(C24&lt;0,SUM(C17,C24),IF(C9&gt;0,SUM(C9:C10),C17)),IF(AND(C24&lt;0,SUM(C24,C10)&lt;0),IF(C10&lt;0,C24,IF(SUM(C9:C10)&gt;0,SUM(C24,C10),IF(AND(C24&lt;0,C17=0,C10&gt;0),IF(SUM(C9:C10)&gt;0,C24+C10,C24)))),IF(AND(SUM(C9:C10)&lt;0,C17=0,C24&lt;0),C24,0)))</f>
        <v>-977662.93934902921</v>
      </c>
      <c r="D28" s="14" t="s">
        <v>3</v>
      </c>
      <c r="E28" s="1"/>
    </row>
    <row r="29" spans="1:5" x14ac:dyDescent="0.25">
      <c r="A29" s="1"/>
      <c r="B29" s="57" t="s">
        <v>48</v>
      </c>
      <c r="C29" s="9">
        <v>2</v>
      </c>
      <c r="D29" s="14" t="s">
        <v>18</v>
      </c>
      <c r="E29" s="1"/>
    </row>
    <row r="30" spans="1:5" x14ac:dyDescent="0.25">
      <c r="A30" s="1"/>
      <c r="B30" s="58" t="s">
        <v>64</v>
      </c>
      <c r="C30" s="10">
        <f>C28/C29</f>
        <v>-488831.46967451461</v>
      </c>
      <c r="D30" s="17" t="s">
        <v>3</v>
      </c>
      <c r="E30" s="1"/>
    </row>
    <row r="31" spans="1:5" x14ac:dyDescent="0.25">
      <c r="A31" s="1"/>
      <c r="B31" s="110"/>
      <c r="C31" s="111"/>
      <c r="D31" s="112"/>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PNwh69hkaWnK0gSpqu63dcPs2CqbPcvB+wISswXS5GiUl9o9G/cznpM8vK3T52JWkI/d1qqSam2NqMAJuLvj6w==" saltValue="UwxcI3O815vCSgXUFlKLEw=="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6" t="s">
        <v>96</v>
      </c>
      <c r="C3" s="96"/>
      <c r="D3" s="96"/>
      <c r="E3" s="1"/>
    </row>
    <row r="4" spans="1:5" ht="15" customHeight="1" x14ac:dyDescent="0.25">
      <c r="A4" s="1"/>
      <c r="B4" s="96"/>
      <c r="C4" s="96"/>
      <c r="D4" s="96"/>
      <c r="E4" s="1"/>
    </row>
    <row r="5" spans="1:5" x14ac:dyDescent="0.25">
      <c r="A5" s="1"/>
      <c r="B5" s="96"/>
      <c r="C5" s="96"/>
      <c r="D5" s="96"/>
      <c r="E5" s="1"/>
    </row>
    <row r="6" spans="1:5" x14ac:dyDescent="0.25">
      <c r="A6" s="1"/>
      <c r="B6" s="1"/>
      <c r="C6" s="1"/>
      <c r="D6" s="1"/>
      <c r="E6" s="1"/>
    </row>
    <row r="7" spans="1:5" x14ac:dyDescent="0.25">
      <c r="A7" s="1"/>
      <c r="B7" s="1"/>
      <c r="C7" s="1"/>
      <c r="D7" s="1"/>
      <c r="E7" s="1"/>
    </row>
    <row r="8" spans="1:5" x14ac:dyDescent="0.25">
      <c r="A8" s="1"/>
      <c r="B8" s="98" t="s">
        <v>97</v>
      </c>
      <c r="C8" s="99"/>
      <c r="D8" s="100"/>
      <c r="E8" s="1"/>
    </row>
    <row r="9" spans="1:5" ht="15" customHeight="1" x14ac:dyDescent="0.25">
      <c r="A9" s="1"/>
      <c r="B9" s="113" t="s">
        <v>123</v>
      </c>
      <c r="C9" s="114"/>
      <c r="D9" s="115"/>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8"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o5MbBEIWfwSYzZSZO5C0gdJA0kLjV5URUwEWYSxFvEIOE/vJmFxDVoUqy4wPrt93UkvnTFhy+zA7V9VrFfjNA==" saltValue="HsbGd2hmuePZ5Pj4mohdqQ=="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90</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74</v>
      </c>
      <c r="C8" s="99"/>
      <c r="D8" s="99"/>
      <c r="E8" s="99"/>
      <c r="F8" s="99"/>
      <c r="G8" s="99"/>
      <c r="H8" s="99"/>
      <c r="I8" s="99"/>
      <c r="J8" s="99"/>
      <c r="K8" s="100"/>
      <c r="L8" s="1"/>
    </row>
    <row r="9" spans="1:12" ht="39.75" customHeight="1" x14ac:dyDescent="0.25">
      <c r="A9" s="1"/>
      <c r="B9" s="18" t="s">
        <v>0</v>
      </c>
      <c r="C9" s="18" t="s">
        <v>1</v>
      </c>
      <c r="D9" s="116" t="s">
        <v>83</v>
      </c>
      <c r="E9" s="117"/>
      <c r="F9" s="116" t="s">
        <v>2</v>
      </c>
      <c r="G9" s="117"/>
      <c r="H9" s="116" t="s">
        <v>84</v>
      </c>
      <c r="I9" s="117"/>
      <c r="J9" s="116" t="s">
        <v>25</v>
      </c>
      <c r="K9" s="117"/>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0"/>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jeTrBiSvFP3tsDUrK51iGLyJERhVhkpcBZjiQQyv4qsEiQKHujWqrcAErovqHF2qajAXRlnOv6CKWXK0AmyuHA==" saltValue="gpcMIFnFve4udt/sTxmbT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91</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1" t="s">
        <v>15</v>
      </c>
      <c r="C9" s="73" t="s">
        <v>10</v>
      </c>
      <c r="D9" s="72"/>
      <c r="E9" s="73"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196</v>
      </c>
      <c r="C11" s="21">
        <v>51396</v>
      </c>
      <c r="D11" s="14" t="s">
        <v>3</v>
      </c>
      <c r="E11" s="9">
        <v>16381</v>
      </c>
      <c r="F11" s="14" t="s">
        <v>3</v>
      </c>
      <c r="G11" s="1"/>
    </row>
    <row r="12" spans="1:7" x14ac:dyDescent="0.25">
      <c r="A12" s="1"/>
      <c r="B12" s="26" t="s">
        <v>197</v>
      </c>
      <c r="C12" s="21">
        <v>0</v>
      </c>
      <c r="D12" s="14" t="s">
        <v>3</v>
      </c>
      <c r="E12" s="9">
        <v>3703</v>
      </c>
      <c r="F12" s="14" t="s">
        <v>3</v>
      </c>
      <c r="G12" s="1"/>
    </row>
    <row r="13" spans="1:7" x14ac:dyDescent="0.25">
      <c r="A13" s="1"/>
      <c r="B13" s="26" t="s">
        <v>198</v>
      </c>
      <c r="C13" s="21">
        <v>0</v>
      </c>
      <c r="D13" s="14" t="s">
        <v>3</v>
      </c>
      <c r="E13" s="9">
        <v>20936</v>
      </c>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112</v>
      </c>
      <c r="C17" s="12">
        <f>SUM(C10:C16)</f>
        <v>51396</v>
      </c>
      <c r="D17" s="13" t="s">
        <v>3</v>
      </c>
      <c r="E17" s="12">
        <f>SUM(E10:E16)</f>
        <v>41020</v>
      </c>
      <c r="F17" s="13" t="s">
        <v>3</v>
      </c>
      <c r="G17" s="1"/>
    </row>
    <row r="18" spans="1:7" x14ac:dyDescent="0.25">
      <c r="A18" s="1"/>
      <c r="B18" s="52" t="s">
        <v>147</v>
      </c>
      <c r="C18" s="12">
        <f>C17*(1+'Fane 13. Nøgletal'!C11)</f>
        <v>54803.554799999998</v>
      </c>
      <c r="D18" s="13" t="s">
        <v>3</v>
      </c>
      <c r="E18" s="12">
        <f>E17*(1+'Fane 13. Nøgletal'!C11)</f>
        <v>43739.626000000004</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BzJ50YJBQB1NEnuGGjdRhsSOn5IpgBzQiVjOPC+edODKeARhoRn8cgVDOwYbYBvi0vyncBKypvhsEKZkPruUOg==" saltValue="3Ds7dZTs6boRP6pl9bS1G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92</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150</v>
      </c>
      <c r="C8" s="99"/>
      <c r="D8" s="99"/>
      <c r="E8" s="99"/>
      <c r="F8" s="100"/>
      <c r="G8" s="1"/>
    </row>
    <row r="9" spans="1:7" x14ac:dyDescent="0.25">
      <c r="A9" s="1"/>
      <c r="B9" s="71" t="s">
        <v>15</v>
      </c>
      <c r="C9" s="73" t="s">
        <v>10</v>
      </c>
      <c r="D9" s="74"/>
      <c r="E9" s="73" t="s">
        <v>26</v>
      </c>
      <c r="F9" s="27"/>
      <c r="G9" s="1"/>
    </row>
    <row r="10" spans="1:7" x14ac:dyDescent="0.25">
      <c r="A10" s="1"/>
      <c r="B10" s="23" t="s">
        <v>199</v>
      </c>
      <c r="C10" s="21"/>
      <c r="D10" s="14" t="s">
        <v>3</v>
      </c>
      <c r="E10" s="9"/>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2" t="s">
        <v>148</v>
      </c>
      <c r="C13" s="12">
        <f>SUM(C10:C12)</f>
        <v>0</v>
      </c>
      <c r="D13" s="13" t="s">
        <v>3</v>
      </c>
      <c r="E13" s="12">
        <f>SUM(E10:E12)</f>
        <v>0</v>
      </c>
      <c r="F13" s="13" t="s">
        <v>3</v>
      </c>
      <c r="G13" s="1"/>
    </row>
    <row r="14" spans="1:7" x14ac:dyDescent="0.25">
      <c r="A14" s="1"/>
      <c r="B14" s="52" t="s">
        <v>149</v>
      </c>
      <c r="C14" s="12">
        <f>C13*(1+'Fane 13. Nøgletal'!$C$11)^2</f>
        <v>0</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BkeNIvpE2m/hpu5/n5/1L+6XOvrLYJ/8wOV0KsshnW6H4cvyvb8m9QN2Cx4V8rjx+KN8Z0vwN1QYKgWmscaEhA==" saltValue="5loyqDosbyGm4nfxImGOsQ=="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93</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98" t="s">
        <v>59</v>
      </c>
      <c r="C8" s="99"/>
      <c r="D8" s="99"/>
      <c r="E8" s="99"/>
      <c r="F8" s="100"/>
      <c r="G8" s="1"/>
    </row>
    <row r="9" spans="1:7" ht="15" customHeight="1" x14ac:dyDescent="0.25">
      <c r="A9" s="1"/>
      <c r="B9" s="54" t="s">
        <v>60</v>
      </c>
      <c r="C9" s="118" t="s">
        <v>10</v>
      </c>
      <c r="D9" s="119"/>
      <c r="E9" s="118" t="s">
        <v>26</v>
      </c>
      <c r="F9" s="119"/>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Tgz8e6ELyLRtabQ36qOnR6QdQNBxcD1P1HRCNbRpPKWcpGHc+ObPkmJPSSRcV5rID2Q6WOSHUQtusJsvSocVdQ==" saltValue="N5Rcjv5HX96kTCA5gcEw0g=="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94</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8" t="s">
        <v>152</v>
      </c>
      <c r="C8" s="99"/>
      <c r="D8" s="99"/>
      <c r="E8" s="99"/>
      <c r="F8" s="100"/>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QZ3aJgcPrM+7vgSkW4YYckmSgIveoaESkcQUQtUGlFmHyDfDUxeIZgveE7XNat5ZTbOXiLtpB5HP7dx4Lcttw==" saltValue="LRZ1DizGpOQ4hvrUdWwCSA=="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6" t="s">
        <v>95</v>
      </c>
      <c r="C3" s="96"/>
      <c r="D3" s="1"/>
    </row>
    <row r="4" spans="1:4" ht="15" customHeight="1" x14ac:dyDescent="0.25">
      <c r="A4" s="1"/>
      <c r="B4" s="96"/>
      <c r="C4" s="96"/>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200</v>
      </c>
      <c r="C11" s="49">
        <v>6.6299999999999998E-2</v>
      </c>
      <c r="D11" s="1"/>
    </row>
    <row r="12" spans="1:4" x14ac:dyDescent="0.25">
      <c r="A12" s="1"/>
      <c r="B12" s="98"/>
      <c r="C12" s="100"/>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201</v>
      </c>
      <c r="C18" s="63">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zRPrNIHZKTVGfYzCjyVWexSv3gS8THAWz0QD9D4MWAKiioFO8g2GBvA0Os3AzjEO4HjYqF+jrdycAANDPfCJFg==" saltValue="p+liFquYVwHUn8Hvx9M7NA=="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20211617.140693195</v>
      </c>
      <c r="D9" s="8" t="s">
        <v>3</v>
      </c>
      <c r="E9" s="1"/>
    </row>
    <row r="10" spans="1:5" ht="17.100000000000001" customHeight="1" x14ac:dyDescent="0.25">
      <c r="A10" s="1"/>
      <c r="B10" s="24" t="s">
        <v>32</v>
      </c>
      <c r="C10" s="7">
        <f>'Fane 10.1. Varige tillæg'!C18</f>
        <v>54803.554799999998</v>
      </c>
      <c r="D10" s="8" t="s">
        <v>3</v>
      </c>
      <c r="E10" s="1"/>
    </row>
    <row r="11" spans="1:5" ht="17.100000000000001" customHeight="1" x14ac:dyDescent="0.25">
      <c r="A11" s="1"/>
      <c r="B11" s="24" t="s">
        <v>33</v>
      </c>
      <c r="C11" s="9">
        <f>'Fane 10.1. Varige tillæg'!E18</f>
        <v>43739.626000000004</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1346563.6293149986</v>
      </c>
      <c r="D16" s="8" t="s">
        <v>3</v>
      </c>
      <c r="E16" s="1"/>
    </row>
    <row r="17" spans="1:5" ht="17.100000000000001" customHeight="1" x14ac:dyDescent="0.25">
      <c r="A17" s="1"/>
      <c r="B17" s="24" t="s">
        <v>9</v>
      </c>
      <c r="C17" s="9">
        <f>-SUM(C9:C16)*'Fane 5. Individuelt eff. krav'!C9</f>
        <v>0</v>
      </c>
      <c r="D17" s="8" t="s">
        <v>3</v>
      </c>
      <c r="E17" s="1"/>
    </row>
    <row r="18" spans="1:5" ht="17.100000000000001" customHeight="1" x14ac:dyDescent="0.25">
      <c r="A18" s="1"/>
      <c r="B18" s="24" t="s">
        <v>21</v>
      </c>
      <c r="C18" s="9">
        <f>-'Fane 4.1. Gen. krav - drift'!C17</f>
        <v>-213428.39804221824</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3" t="s">
        <v>19</v>
      </c>
      <c r="C20" s="10">
        <f>SUM(C9:C19)</f>
        <v>21443295.552765977</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10973479.68092286</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0</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0</v>
      </c>
      <c r="D27" s="8" t="s">
        <v>3</v>
      </c>
      <c r="E27" s="1"/>
    </row>
    <row r="28" spans="1:5" x14ac:dyDescent="0.25">
      <c r="A28" s="1"/>
      <c r="B28" s="73" t="s">
        <v>40</v>
      </c>
      <c r="C28" s="50">
        <f>SUM(C24:C27)</f>
        <v>0</v>
      </c>
      <c r="D28" s="11" t="s">
        <v>3</v>
      </c>
      <c r="E28" s="1"/>
    </row>
    <row r="29" spans="1:5" ht="15" customHeight="1" x14ac:dyDescent="0.25">
      <c r="A29" s="1"/>
      <c r="B29" s="25" t="s">
        <v>65</v>
      </c>
      <c r="C29" s="53"/>
      <c r="D29" s="19"/>
      <c r="E29" s="1"/>
    </row>
    <row r="30" spans="1:5" x14ac:dyDescent="0.25">
      <c r="A30" s="1"/>
      <c r="B30" s="58" t="s">
        <v>66</v>
      </c>
      <c r="C30" s="10">
        <f>'Fane 7. Kontrol af ØR2023'!C30</f>
        <v>-488831.46967451461</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31927943.764014326</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d2kMBxlYPEYPiQzsSj0yZ6jxisO919p8eec7RZW8IyPJjhS98xGma7j0YR2G6RLDE40lzZlfUEl6/lqp2bIHGQ==" saltValue="BYYqv6+5S6TIBvrfOsg5s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129</v>
      </c>
      <c r="C3" s="94"/>
      <c r="D3" s="94"/>
      <c r="E3" s="1"/>
    </row>
    <row r="4" spans="1:5" ht="15" customHeight="1" x14ac:dyDescent="0.25">
      <c r="A4" s="1"/>
      <c r="B4" s="94"/>
      <c r="C4" s="94"/>
      <c r="D4" s="94"/>
      <c r="E4" s="1"/>
    </row>
    <row r="5" spans="1:5" x14ac:dyDescent="0.25">
      <c r="A5" s="1"/>
      <c r="B5" s="95"/>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21443295.552765977</v>
      </c>
      <c r="D9" s="8" t="s">
        <v>3</v>
      </c>
      <c r="E9" s="1"/>
    </row>
    <row r="10" spans="1:5" ht="15" customHeight="1" x14ac:dyDescent="0.25">
      <c r="A10" s="1"/>
      <c r="B10" s="47" t="s">
        <v>17</v>
      </c>
      <c r="C10" s="41">
        <f>C9*'Fane 13. Nøgletal'!C11</f>
        <v>1421690.4951483842</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drift'!C22</f>
        <v>-223027.12681576898</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22641958.92109859</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11701021.383768046</v>
      </c>
      <c r="D16" s="11" t="s">
        <v>3</v>
      </c>
      <c r="E16" s="1"/>
    </row>
    <row r="17" spans="1:5" x14ac:dyDescent="0.25">
      <c r="A17" s="1"/>
      <c r="B17" s="25" t="s">
        <v>65</v>
      </c>
      <c r="C17" s="53"/>
      <c r="D17" s="19"/>
      <c r="E17" s="1"/>
    </row>
    <row r="18" spans="1:5" ht="15" customHeight="1" x14ac:dyDescent="0.25">
      <c r="A18" s="1"/>
      <c r="B18" s="45" t="s">
        <v>66</v>
      </c>
      <c r="C18" s="10">
        <f>'Fane 7. Kontrol af ØR2023'!C30</f>
        <v>-488831.46967451461</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33854148.835192122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wl0skq7vIFBdbS9iVz5BeyEyboH8PyzZtefklUU9cgR6HEZiTdBtkvU86pi9bDSTMBnfgZlcRUPIVqsIJ/Y0TQ==" saltValue="WDWWhDtkC4sWo/DHFvXsj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22641958.92109859</v>
      </c>
      <c r="D9" s="8" t="s">
        <v>3</v>
      </c>
      <c r="E9" s="1"/>
    </row>
    <row r="10" spans="1:5" ht="15" customHeight="1" x14ac:dyDescent="0.25">
      <c r="A10" s="1"/>
      <c r="B10" s="47" t="s">
        <v>17</v>
      </c>
      <c r="C10" s="41">
        <f>C9*'Fane 13. Nøgletal'!C11</f>
        <v>1501161.8764688366</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drift'!C27</f>
        <v>-233057.54881718138</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23910063.248750247</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12476799.101511868</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36386862.350262113</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vxn/pqeGE3C9bRyNBPDgdDtlzOjlGL1LPIRTnGa1Gwm7c5aTKdgnXAyzy5NkPxMsjgSSKMDOGSN7znK61XCaQ==" saltValue="9Z1ZkyA2Shzn2CFu+X7Uh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131</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23910063.248750247</v>
      </c>
      <c r="D9" s="8" t="s">
        <v>3</v>
      </c>
      <c r="E9" s="1"/>
    </row>
    <row r="10" spans="1:5" ht="15" customHeight="1" x14ac:dyDescent="0.25">
      <c r="A10" s="1"/>
      <c r="B10" s="47" t="s">
        <v>17</v>
      </c>
      <c r="C10" s="9">
        <f>C9*'Fane 13. Nøgletal'!C11</f>
        <v>1585237.1933921413</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drift'!C32</f>
        <v>-243539.07901768529</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25251761.363124706</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13304010.881942105</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38555772.245066807</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N/oBAt111TftzW/BdN1tzCxch2bQ76WuOJWrCAY+2u1uGypKKLqOOWaZISsnHZ29pGzt78H6U8kIyjaTgUyOg==" saltValue="2c8UCLel9F2jsLjiJJrXP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2"/>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6" t="s">
        <v>134</v>
      </c>
      <c r="C3" s="96"/>
      <c r="D3" s="96"/>
      <c r="E3" s="1"/>
    </row>
    <row r="4" spans="1:5" ht="15" customHeight="1" x14ac:dyDescent="0.25">
      <c r="A4" s="1"/>
      <c r="B4" s="96"/>
      <c r="C4" s="96"/>
      <c r="D4" s="96"/>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21532575.981764846</v>
      </c>
      <c r="D9" s="8" t="s">
        <v>3</v>
      </c>
      <c r="E9" s="1"/>
    </row>
    <row r="10" spans="1:5" x14ac:dyDescent="0.25">
      <c r="A10" s="1"/>
      <c r="B10" s="24" t="s">
        <v>32</v>
      </c>
      <c r="C10" s="7">
        <v>0</v>
      </c>
      <c r="D10" s="8" t="s">
        <v>3</v>
      </c>
      <c r="E10" s="1"/>
    </row>
    <row r="11" spans="1:5" ht="15" customHeight="1" x14ac:dyDescent="0.25">
      <c r="A11" s="1"/>
      <c r="B11" s="24" t="s">
        <v>33</v>
      </c>
      <c r="C11" s="9">
        <v>390495.20159999997</v>
      </c>
      <c r="D11" s="8" t="s">
        <v>3</v>
      </c>
      <c r="E11" s="1"/>
    </row>
    <row r="12" spans="1:5" ht="15" customHeight="1" x14ac:dyDescent="0.25">
      <c r="A12" s="1"/>
      <c r="B12" s="24" t="s">
        <v>24</v>
      </c>
      <c r="C12" s="9">
        <v>0</v>
      </c>
      <c r="D12" s="8" t="s">
        <v>3</v>
      </c>
      <c r="E12" s="1"/>
    </row>
    <row r="13" spans="1:5" x14ac:dyDescent="0.25">
      <c r="A13" s="1"/>
      <c r="B13" s="24" t="s">
        <v>23</v>
      </c>
      <c r="C13" s="9">
        <v>-1824849.4008000002</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733147.07857162843</v>
      </c>
      <c r="D16" s="8" t="s">
        <v>3</v>
      </c>
      <c r="E16" s="1"/>
    </row>
    <row r="17" spans="1:5" x14ac:dyDescent="0.25">
      <c r="A17" s="1"/>
      <c r="B17" s="24" t="s">
        <v>9</v>
      </c>
      <c r="C17" s="9">
        <v>-416627.3772227295</v>
      </c>
      <c r="D17" s="8" t="s">
        <v>3</v>
      </c>
      <c r="E17" s="1"/>
    </row>
    <row r="18" spans="1:5" x14ac:dyDescent="0.25">
      <c r="A18" s="1"/>
      <c r="B18" s="24" t="s">
        <v>21</v>
      </c>
      <c r="C18" s="9">
        <v>-203124.34322055231</v>
      </c>
      <c r="D18" s="8" t="s">
        <v>3</v>
      </c>
      <c r="E18" s="1"/>
    </row>
    <row r="19" spans="1:5" x14ac:dyDescent="0.25">
      <c r="A19" s="1"/>
      <c r="B19" s="24" t="s">
        <v>22</v>
      </c>
      <c r="C19" s="9">
        <v>0</v>
      </c>
      <c r="D19" s="8" t="s">
        <v>3</v>
      </c>
      <c r="E19" s="1"/>
    </row>
    <row r="20" spans="1:5" x14ac:dyDescent="0.25">
      <c r="A20" s="1"/>
      <c r="B20" s="73" t="s">
        <v>19</v>
      </c>
      <c r="C20" s="10">
        <v>20211617.140693195</v>
      </c>
      <c r="D20" s="11" t="s">
        <v>3</v>
      </c>
      <c r="E20" s="1"/>
    </row>
    <row r="21" spans="1:5" x14ac:dyDescent="0.25">
      <c r="A21" s="1"/>
      <c r="B21" s="52" t="s">
        <v>11</v>
      </c>
      <c r="C21" s="53"/>
      <c r="D21" s="19"/>
      <c r="E21" s="1"/>
    </row>
    <row r="22" spans="1:5" x14ac:dyDescent="0.25">
      <c r="A22" s="1"/>
      <c r="B22" s="54" t="s">
        <v>11</v>
      </c>
      <c r="C22" s="10">
        <v>12117387.36955712</v>
      </c>
      <c r="D22" s="11" t="s">
        <v>3</v>
      </c>
      <c r="E22" s="1"/>
    </row>
    <row r="23" spans="1:5" x14ac:dyDescent="0.25">
      <c r="A23" s="1"/>
      <c r="B23" s="52" t="s">
        <v>39</v>
      </c>
      <c r="C23" s="53"/>
      <c r="D23" s="19"/>
      <c r="E23" s="1"/>
    </row>
    <row r="24" spans="1:5" ht="15" customHeight="1" x14ac:dyDescent="0.25">
      <c r="A24" s="1"/>
      <c r="B24" s="24" t="s">
        <v>35</v>
      </c>
      <c r="C24" s="9">
        <v>0</v>
      </c>
      <c r="D24" s="8" t="s">
        <v>3</v>
      </c>
      <c r="E24" s="1"/>
    </row>
    <row r="25" spans="1:5" ht="14.25" customHeight="1" x14ac:dyDescent="0.25">
      <c r="A25" s="1"/>
      <c r="B25" s="24" t="s">
        <v>36</v>
      </c>
      <c r="C25" s="9">
        <v>0</v>
      </c>
      <c r="D25" s="8" t="s">
        <v>3</v>
      </c>
      <c r="E25" s="1"/>
    </row>
    <row r="26" spans="1:5" ht="14.25" customHeight="1" x14ac:dyDescent="0.25">
      <c r="A26" s="1"/>
      <c r="B26" s="24" t="s">
        <v>79</v>
      </c>
      <c r="C26" s="9">
        <v>0</v>
      </c>
      <c r="D26" s="8" t="s">
        <v>3</v>
      </c>
      <c r="E26" s="1"/>
    </row>
    <row r="27" spans="1:5" ht="14.25" customHeight="1" x14ac:dyDescent="0.25">
      <c r="A27" s="1"/>
      <c r="B27" s="24" t="s">
        <v>80</v>
      </c>
      <c r="C27" s="9">
        <v>0</v>
      </c>
      <c r="D27" s="8" t="s">
        <v>3</v>
      </c>
      <c r="E27" s="1"/>
    </row>
    <row r="28" spans="1:5" ht="14.25" customHeight="1" x14ac:dyDescent="0.25">
      <c r="A28" s="1"/>
      <c r="B28" s="73" t="s">
        <v>40</v>
      </c>
      <c r="C28" s="10">
        <v>0</v>
      </c>
      <c r="D28" s="11" t="s">
        <v>3</v>
      </c>
      <c r="E28" s="1"/>
    </row>
    <row r="29" spans="1:5" x14ac:dyDescent="0.25">
      <c r="A29" s="1"/>
      <c r="B29" s="25" t="s">
        <v>65</v>
      </c>
      <c r="C29" s="53"/>
      <c r="D29" s="19"/>
      <c r="E29" s="1"/>
    </row>
    <row r="30" spans="1:5" x14ac:dyDescent="0.25">
      <c r="A30" s="1"/>
      <c r="B30" s="58" t="s">
        <v>66</v>
      </c>
      <c r="C30" s="10">
        <v>0</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25" t="s">
        <v>193</v>
      </c>
      <c r="C33" s="53"/>
      <c r="D33" s="19"/>
      <c r="E33" s="1"/>
    </row>
    <row r="34" spans="1:5" ht="15.6" customHeight="1" x14ac:dyDescent="0.25">
      <c r="A34" s="1"/>
      <c r="B34" s="58" t="s">
        <v>194</v>
      </c>
      <c r="C34" s="10">
        <v>453817.2521375707</v>
      </c>
      <c r="D34" s="11" t="s">
        <v>3</v>
      </c>
      <c r="E34" s="1"/>
    </row>
    <row r="35" spans="1:5" ht="15.6" customHeight="1" x14ac:dyDescent="0.25">
      <c r="A35" s="1"/>
      <c r="B35" s="52" t="s">
        <v>67</v>
      </c>
      <c r="C35" s="29">
        <v>32782821.762387887</v>
      </c>
      <c r="D35" s="19" t="s">
        <v>3</v>
      </c>
      <c r="E35" s="1"/>
    </row>
    <row r="36" spans="1:5" ht="30" customHeight="1" x14ac:dyDescent="0.25">
      <c r="A36" s="1"/>
      <c r="B36" s="97" t="s">
        <v>195</v>
      </c>
      <c r="C36" s="97"/>
      <c r="D36" s="97"/>
      <c r="E36" s="1"/>
    </row>
    <row r="37" spans="1:5" ht="27.75" customHeight="1"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row r="51" spans="1:5" hidden="1" x14ac:dyDescent="0.25"/>
    <row r="52" spans="1:5" hidden="1" x14ac:dyDescent="0.25"/>
  </sheetData>
  <sheetProtection algorithmName="SHA-512" hashValue="JsSJXOtaehFFPl3SNB9qbrLNa+cwpLGEg+Hag+ReRRK8YdDrs/CAO4ULBhwHlEHewTuaeP5HVsw097v8MdjR5A==" saltValue="dumR7JxR+Nl5wC1XSZdk3w==" spinCount="100000" sheet="1" objects="1" scenarios="1"/>
  <mergeCells count="2">
    <mergeCell ref="B3:D4"/>
    <mergeCell ref="B36:D36"/>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6" t="s">
        <v>53</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7"/>
      <c r="C6" s="67"/>
      <c r="D6" s="67"/>
      <c r="E6" s="1"/>
    </row>
    <row r="7" spans="1:5" x14ac:dyDescent="0.25">
      <c r="A7" s="1"/>
      <c r="B7" s="1"/>
      <c r="C7" s="32"/>
      <c r="D7" s="1"/>
      <c r="E7" s="1"/>
    </row>
    <row r="8" spans="1:5" x14ac:dyDescent="0.25">
      <c r="A8" s="1"/>
      <c r="B8" s="98" t="s">
        <v>75</v>
      </c>
      <c r="C8" s="99"/>
      <c r="D8" s="100"/>
      <c r="E8" s="1"/>
    </row>
    <row r="9" spans="1:5" x14ac:dyDescent="0.25">
      <c r="A9" s="1"/>
      <c r="B9" s="56" t="s">
        <v>167</v>
      </c>
      <c r="C9" s="22">
        <v>10156217.161027616</v>
      </c>
      <c r="D9" s="14" t="s">
        <v>3</v>
      </c>
      <c r="E9" s="1"/>
    </row>
    <row r="10" spans="1:5" x14ac:dyDescent="0.25">
      <c r="A10" s="1"/>
      <c r="B10" s="56" t="s">
        <v>110</v>
      </c>
      <c r="C10" s="61">
        <f>('Fane 3. Omkostninger i ØR2024'!C10+'Fane 3. Omkostninger i ØR2024'!C12+'Fane 3. Omkostninger i ØR2024'!C14)*(1+'Fane 13. Nøgletal'!C10)</f>
        <v>0</v>
      </c>
      <c r="D10" s="14" t="s">
        <v>3</v>
      </c>
      <c r="E10" s="1"/>
    </row>
    <row r="11" spans="1:5" x14ac:dyDescent="0.25">
      <c r="A11" s="1"/>
      <c r="B11" s="56" t="s">
        <v>81</v>
      </c>
      <c r="C11" s="22">
        <f>C9*'Fane 13. Nøgletal'!C23+C10*'Fane 13. Nøgletal'!C23</f>
        <v>203124.34322055231</v>
      </c>
      <c r="D11" s="14" t="s">
        <v>3</v>
      </c>
      <c r="E11" s="1"/>
    </row>
    <row r="12" spans="1:5" x14ac:dyDescent="0.25">
      <c r="A12" s="1"/>
      <c r="B12" s="52"/>
      <c r="C12" s="31"/>
      <c r="D12" s="19"/>
      <c r="E12" s="1"/>
    </row>
    <row r="13" spans="1:5" x14ac:dyDescent="0.25">
      <c r="A13" s="1"/>
      <c r="B13" s="1"/>
      <c r="C13" s="32"/>
      <c r="D13" s="1"/>
      <c r="E13" s="1"/>
    </row>
    <row r="14" spans="1:5" x14ac:dyDescent="0.25">
      <c r="A14" s="1"/>
      <c r="B14" s="98" t="s">
        <v>153</v>
      </c>
      <c r="C14" s="99"/>
      <c r="D14" s="100"/>
      <c r="E14" s="1"/>
    </row>
    <row r="15" spans="1:5" x14ac:dyDescent="0.25">
      <c r="A15" s="1"/>
      <c r="B15" s="56" t="s">
        <v>168</v>
      </c>
      <c r="C15" s="22">
        <f>(C9+C10-C11)*(1+'Fane 13. Nøgletal'!C11)</f>
        <v>10612982.871627672</v>
      </c>
      <c r="D15" s="14" t="s">
        <v>3</v>
      </c>
      <c r="E15" s="1"/>
    </row>
    <row r="16" spans="1:5" x14ac:dyDescent="0.25">
      <c r="A16" s="1"/>
      <c r="B16" s="56" t="s">
        <v>154</v>
      </c>
      <c r="C16" s="22">
        <f>('Fane 2.1. Økonomisk ramme 2025'!C10+'Fane 2.1. Økonomisk ramme 2025'!C12+'Fane 2.1. Økonomisk ramme 2025'!C14)*(1+'Fane 13. Nøgletal'!C11)</f>
        <v>58437.03048324</v>
      </c>
      <c r="D16" s="14" t="s">
        <v>3</v>
      </c>
      <c r="E16" s="1"/>
    </row>
    <row r="17" spans="1:5" x14ac:dyDescent="0.25">
      <c r="A17" s="1"/>
      <c r="B17" s="56" t="s">
        <v>155</v>
      </c>
      <c r="C17" s="22">
        <f>(C15+C16)*'Fane 13. Nøgletal'!C23</f>
        <v>213428.39804221824</v>
      </c>
      <c r="D17" s="14" t="s">
        <v>3</v>
      </c>
      <c r="E17" s="1"/>
    </row>
    <row r="18" spans="1:5" x14ac:dyDescent="0.25">
      <c r="A18" s="1"/>
      <c r="B18" s="52"/>
      <c r="C18" s="31"/>
      <c r="D18" s="19"/>
      <c r="E18" s="1"/>
    </row>
    <row r="19" spans="1:5" x14ac:dyDescent="0.25">
      <c r="A19" s="1"/>
      <c r="B19" s="1"/>
      <c r="C19" s="32"/>
      <c r="D19" s="1"/>
      <c r="E19" s="1"/>
    </row>
    <row r="20" spans="1:5" x14ac:dyDescent="0.25">
      <c r="A20" s="1"/>
      <c r="B20" s="98" t="s">
        <v>170</v>
      </c>
      <c r="C20" s="99"/>
      <c r="D20" s="100"/>
      <c r="E20" s="1"/>
    </row>
    <row r="21" spans="1:5" x14ac:dyDescent="0.25">
      <c r="A21" s="1"/>
      <c r="B21" s="56" t="s">
        <v>169</v>
      </c>
      <c r="C21" s="48">
        <f>(C15+C16-C17)*(1+'Fane 13. Nøgletal'!C11)</f>
        <v>11151356.340788448</v>
      </c>
      <c r="D21" s="14" t="s">
        <v>3</v>
      </c>
      <c r="E21" s="1"/>
    </row>
    <row r="22" spans="1:5" x14ac:dyDescent="0.25">
      <c r="A22" s="1"/>
      <c r="B22" s="56" t="s">
        <v>171</v>
      </c>
      <c r="C22" s="48">
        <f>(C21)*'Fane 13. Nøgletal'!C23</f>
        <v>223027.12681576898</v>
      </c>
      <c r="D22" s="14" t="s">
        <v>3</v>
      </c>
      <c r="E22" s="1"/>
    </row>
    <row r="23" spans="1:5" x14ac:dyDescent="0.25">
      <c r="A23" s="1"/>
      <c r="B23" s="52"/>
      <c r="C23" s="31"/>
      <c r="D23" s="19"/>
      <c r="E23" s="1"/>
    </row>
    <row r="24" spans="1:5" x14ac:dyDescent="0.25">
      <c r="A24" s="1"/>
      <c r="B24" s="1"/>
      <c r="C24" s="32"/>
      <c r="D24" s="1"/>
      <c r="E24" s="1"/>
    </row>
    <row r="25" spans="1:5" x14ac:dyDescent="0.25">
      <c r="A25" s="1"/>
      <c r="B25" s="98" t="s">
        <v>116</v>
      </c>
      <c r="C25" s="99"/>
      <c r="D25" s="100"/>
      <c r="E25" s="1"/>
    </row>
    <row r="26" spans="1:5" x14ac:dyDescent="0.25">
      <c r="A26" s="1"/>
      <c r="B26" s="56" t="s">
        <v>117</v>
      </c>
      <c r="C26" s="48">
        <f>(C21-C22)*(1+'Fane 13. Nøgletal'!C11)</f>
        <v>11652877.440859068</v>
      </c>
      <c r="D26" s="14" t="s">
        <v>3</v>
      </c>
      <c r="E26" s="1"/>
    </row>
    <row r="27" spans="1:5" x14ac:dyDescent="0.25">
      <c r="A27" s="1"/>
      <c r="B27" s="56" t="s">
        <v>118</v>
      </c>
      <c r="C27" s="48">
        <f>(C26)*'Fane 13. Nøgletal'!C23</f>
        <v>233057.54881718138</v>
      </c>
      <c r="D27" s="14" t="s">
        <v>3</v>
      </c>
      <c r="E27" s="1"/>
    </row>
    <row r="28" spans="1:5" x14ac:dyDescent="0.25">
      <c r="A28" s="1"/>
      <c r="B28" s="52"/>
      <c r="C28" s="42"/>
      <c r="D28" s="19"/>
      <c r="E28" s="1"/>
    </row>
    <row r="29" spans="1:5" x14ac:dyDescent="0.25">
      <c r="A29" s="1"/>
      <c r="B29" s="1"/>
      <c r="C29" s="32"/>
      <c r="D29" s="1"/>
      <c r="E29" s="1"/>
    </row>
    <row r="30" spans="1:5" x14ac:dyDescent="0.25">
      <c r="A30" s="1"/>
      <c r="B30" s="98" t="s">
        <v>136</v>
      </c>
      <c r="C30" s="99"/>
      <c r="D30" s="100"/>
      <c r="E30" s="1"/>
    </row>
    <row r="31" spans="1:5" x14ac:dyDescent="0.25">
      <c r="A31" s="1"/>
      <c r="B31" s="56" t="s">
        <v>137</v>
      </c>
      <c r="C31" s="48">
        <f>(C26-C27)*(1+'Fane 13. Nøgletal'!C11)</f>
        <v>12176953.950884264</v>
      </c>
      <c r="D31" s="14" t="s">
        <v>3</v>
      </c>
      <c r="E31" s="1"/>
    </row>
    <row r="32" spans="1:5" x14ac:dyDescent="0.25">
      <c r="A32" s="1"/>
      <c r="B32" s="56" t="s">
        <v>138</v>
      </c>
      <c r="C32" s="48">
        <f>(C31)*'Fane 13. Nøgletal'!C23</f>
        <v>243539.07901768529</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1TnFrF8OgzUqzbRZjd9+SyedshWZnyTqnu92xdMX0ojO837epAeGBHzK2dqzsTQ0Ogfl/JNdjsBZPAKVhJzcGw==" saltValue="qzAKlt6ZoLjeeDkPXHKg5g=="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1" t="s">
        <v>54</v>
      </c>
      <c r="C3" s="102"/>
      <c r="D3" s="102"/>
      <c r="E3" s="1"/>
    </row>
    <row r="4" spans="1:5" ht="15" customHeight="1" x14ac:dyDescent="0.25">
      <c r="A4" s="1"/>
      <c r="B4" s="102"/>
      <c r="C4" s="102"/>
      <c r="D4" s="102"/>
      <c r="E4" s="1"/>
    </row>
    <row r="5" spans="1:5" ht="15" customHeight="1" x14ac:dyDescent="0.25">
      <c r="A5" s="1"/>
      <c r="B5" s="102"/>
      <c r="C5" s="102"/>
      <c r="D5" s="102"/>
      <c r="E5" s="1"/>
    </row>
    <row r="6" spans="1:5" ht="15" customHeight="1" x14ac:dyDescent="0.25">
      <c r="A6" s="1"/>
      <c r="B6" s="1"/>
      <c r="C6" s="1"/>
      <c r="D6" s="1"/>
      <c r="E6" s="1"/>
    </row>
    <row r="7" spans="1:5" ht="15" customHeight="1" x14ac:dyDescent="0.25">
      <c r="A7" s="1"/>
      <c r="B7" s="1"/>
      <c r="C7" s="1"/>
      <c r="D7" s="1"/>
      <c r="E7" s="1"/>
    </row>
    <row r="8" spans="1:5" x14ac:dyDescent="0.25">
      <c r="A8" s="1"/>
      <c r="B8" s="98" t="s">
        <v>76</v>
      </c>
      <c r="C8" s="99"/>
      <c r="D8" s="100"/>
      <c r="E8" s="1"/>
    </row>
    <row r="9" spans="1:5" x14ac:dyDescent="0.25">
      <c r="A9" s="1"/>
      <c r="B9" s="56" t="s">
        <v>162</v>
      </c>
      <c r="C9" s="48">
        <v>15128476.089594459</v>
      </c>
      <c r="D9" s="14" t="s">
        <v>3</v>
      </c>
      <c r="E9" s="1"/>
    </row>
    <row r="10" spans="1:5" x14ac:dyDescent="0.25">
      <c r="A10" s="1"/>
      <c r="B10" s="56" t="s">
        <v>113</v>
      </c>
      <c r="C10" s="48">
        <f>('Fane 3. Omkostninger i ØR2024'!C11+'Fane 3. Omkostninger i ØR2024'!C13+'Fane 3. Omkostninger i ØR2024'!C15)*(1+'Fane 13. Nøgletal'!C10)</f>
        <v>-1550250.0184953602</v>
      </c>
      <c r="D10" s="14" t="s">
        <v>3</v>
      </c>
      <c r="E10" s="1"/>
    </row>
    <row r="11" spans="1:5" x14ac:dyDescent="0.25">
      <c r="A11" s="1"/>
      <c r="B11" s="56" t="s">
        <v>114</v>
      </c>
      <c r="C11" s="75">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8" t="s">
        <v>156</v>
      </c>
      <c r="C14" s="99"/>
      <c r="D14" s="100"/>
      <c r="E14" s="1"/>
    </row>
    <row r="15" spans="1:5" x14ac:dyDescent="0.25">
      <c r="A15" s="1"/>
      <c r="B15" s="56" t="s">
        <v>163</v>
      </c>
      <c r="C15" s="48">
        <f>(C9+C10-C11)*(1+'Fane 13. Nøgletal'!C11)</f>
        <v>14478462.459612969</v>
      </c>
      <c r="D15" s="14" t="s">
        <v>3</v>
      </c>
      <c r="E15" s="1"/>
    </row>
    <row r="16" spans="1:5" x14ac:dyDescent="0.25">
      <c r="A16" s="1"/>
      <c r="B16" s="56" t="s">
        <v>157</v>
      </c>
      <c r="C16" s="48">
        <f>('Fane 2.1. Økonomisk ramme 2025'!C11+'Fane 2.1. Økonomisk ramme 2025'!C13+'Fane 2.1. Økonomisk ramme 2025'!C15)*(1+'Fane 13. Nøgletal'!C11)</f>
        <v>46639.563203800004</v>
      </c>
      <c r="D16" s="14" t="s">
        <v>3</v>
      </c>
      <c r="E16" s="1"/>
    </row>
    <row r="17" spans="1:5" x14ac:dyDescent="0.25">
      <c r="A17" s="1"/>
      <c r="B17" s="56" t="s">
        <v>158</v>
      </c>
      <c r="C17" s="75">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8" t="s">
        <v>166</v>
      </c>
      <c r="C20" s="99"/>
      <c r="D20" s="100"/>
      <c r="E20" s="1"/>
    </row>
    <row r="21" spans="1:5" x14ac:dyDescent="0.25">
      <c r="A21" s="1"/>
      <c r="B21" s="56" t="s">
        <v>164</v>
      </c>
      <c r="C21" s="48">
        <f>(C15+C16-C17)*(1+'Fane 13. Nøgletal'!C11)</f>
        <v>15488116.286929522</v>
      </c>
      <c r="D21" s="14" t="s">
        <v>3</v>
      </c>
      <c r="E21" s="1"/>
    </row>
    <row r="22" spans="1:5" x14ac:dyDescent="0.25">
      <c r="A22" s="1"/>
      <c r="B22" s="56" t="s">
        <v>165</v>
      </c>
      <c r="C22" s="75">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8" t="s">
        <v>119</v>
      </c>
      <c r="C25" s="99"/>
      <c r="D25" s="100"/>
      <c r="E25" s="1"/>
    </row>
    <row r="26" spans="1:5" x14ac:dyDescent="0.25">
      <c r="A26" s="1"/>
      <c r="B26" s="56" t="s">
        <v>120</v>
      </c>
      <c r="C26" s="48">
        <f>(C21-C22)*(1+'Fane 13. Nøgletal'!C11)</f>
        <v>16514978.39675295</v>
      </c>
      <c r="D26" s="14" t="s">
        <v>3</v>
      </c>
      <c r="E26" s="1"/>
    </row>
    <row r="27" spans="1:5" x14ac:dyDescent="0.25">
      <c r="A27" s="1"/>
      <c r="B27" s="56" t="s">
        <v>121</v>
      </c>
      <c r="C27" s="75">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8" t="s">
        <v>139</v>
      </c>
      <c r="C30" s="99"/>
      <c r="D30" s="100"/>
      <c r="E30" s="1"/>
    </row>
    <row r="31" spans="1:5" x14ac:dyDescent="0.25">
      <c r="A31" s="1"/>
      <c r="B31" s="56" t="s">
        <v>140</v>
      </c>
      <c r="C31" s="48">
        <f>(C26-C27)*(1+'Fane 13. Nøgletal'!C11)</f>
        <v>17609921.464457672</v>
      </c>
      <c r="D31" s="14" t="s">
        <v>3</v>
      </c>
      <c r="E31" s="1"/>
    </row>
    <row r="32" spans="1:5" x14ac:dyDescent="0.25">
      <c r="A32" s="1"/>
      <c r="B32" s="56" t="s">
        <v>141</v>
      </c>
      <c r="C32" s="75">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0VBTHvH0S5lllnwgOCmgHGZirQJ+hszlF0pXtpXvd+nxxEGMF0uk7hmGVEn2arRgYIiedklGHBaR5YipUlfk8w==" saltValue="S4PKkK8imyIJazdMWzPhMQ=="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4" t="s">
        <v>41</v>
      </c>
      <c r="C3" s="94"/>
      <c r="D3" s="1"/>
    </row>
    <row r="4" spans="1:4" ht="15" customHeight="1" x14ac:dyDescent="0.25">
      <c r="A4" s="1"/>
      <c r="B4" s="94"/>
      <c r="C4" s="9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8" t="s">
        <v>9</v>
      </c>
      <c r="C8" s="100"/>
      <c r="D8" s="1"/>
    </row>
    <row r="9" spans="1:4" x14ac:dyDescent="0.25">
      <c r="A9" s="1"/>
      <c r="B9" s="56" t="s">
        <v>160</v>
      </c>
      <c r="C9" s="44">
        <v>0</v>
      </c>
      <c r="D9" s="1"/>
    </row>
    <row r="10" spans="1:4" x14ac:dyDescent="0.25">
      <c r="A10" s="1"/>
      <c r="B10" s="52"/>
      <c r="C10" s="19"/>
      <c r="D10" s="1"/>
    </row>
    <row r="11" spans="1:4" ht="15" customHeight="1" x14ac:dyDescent="0.25">
      <c r="A11" s="1"/>
      <c r="B11" s="103" t="s">
        <v>161</v>
      </c>
      <c r="C11" s="104"/>
      <c r="D11" s="1"/>
    </row>
    <row r="12" spans="1:4" ht="13.5" customHeight="1" x14ac:dyDescent="0.25">
      <c r="A12" s="1"/>
      <c r="B12" s="105"/>
      <c r="C12" s="10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G0unSgPQkigQtbtBDeuhrAndNGnyz/F8w1ZAaTlqcFxCAAnlYwInfV/hDfyxvxx6UMyBUj5SZN8/3KZJGI4Hcg==" saltValue="8vbG1Ww09EKLEJi9wFmGcQ=="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2024-09-05T06:43:08Z</dcterms:modified>
</cp:coreProperties>
</file>