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stforsyning Spildevand AS (S10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11" l="1"/>
  <c r="E11" i="11"/>
  <c r="E12" i="11"/>
  <c r="E13" i="11"/>
  <c r="E14" i="11"/>
  <c r="E15" i="11"/>
  <c r="E16" i="40" l="1"/>
  <c r="E12" i="40"/>
  <c r="C16" i="19" l="1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6" i="11" l="1"/>
  <c r="E17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22" i="39" l="1"/>
  <c r="C22" i="15" s="1"/>
  <c r="C30" i="39"/>
  <c r="C21" i="22" s="1"/>
  <c r="C38" i="39"/>
  <c r="C21" i="23" s="1"/>
  <c r="E22" i="39"/>
  <c r="C23" i="15" s="1"/>
  <c r="E30" i="39"/>
  <c r="C22" i="22" s="1"/>
  <c r="E38" i="39"/>
  <c r="C22" i="23" s="1"/>
  <c r="E14" i="39"/>
  <c r="C31" i="2" s="1"/>
  <c r="C14" i="39"/>
  <c r="C30" i="2" s="1"/>
  <c r="C23" i="23" l="1"/>
  <c r="C23" i="22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8" i="11"/>
  <c r="C10" i="37" s="1"/>
  <c r="C13" i="37" s="1"/>
  <c r="C14" i="37" s="1"/>
  <c r="C14" i="2" s="1"/>
  <c r="G18" i="11"/>
  <c r="E11" i="21" l="1"/>
  <c r="C11" i="21"/>
  <c r="E11" i="29"/>
  <c r="C11" i="29"/>
  <c r="C17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3" i="37" s="1"/>
  <c r="E14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<sst xmlns="http://schemas.openxmlformats.org/spreadsheetml/2006/main" count="728" uniqueCount="291">
  <si>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</si>
  <si>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</si>
  <si>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</si>
  <si>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</si>
  <si>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</si>
  <si>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</si>
  <si>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</si>
  <si>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</si>
  <si>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</si>
  <si>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</si>
  <si>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</si>
  <si>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</si>
  <si>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</si>
  <si>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</si>
  <si>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</si>
  <si>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</si>
  <si>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</si>
  <si>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</si>
  <si>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</si>
  <si>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</si>
  <si>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</si>
  <si>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</si>
  <si>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</si>
  <si>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</si>
  <si>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</si>
  <si>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</si>
  <si>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</si>
  <si>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</si>
  <si>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</si>
  <si>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</si>
  <si>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</si>
  <si>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</si>
  <si>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</si>
  <si>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</si>
  <si>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</si>
  <si>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</si>
  <si>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</si>
  <si>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</si>
  <si>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</si>
  <si>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</si>
  <si>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</si>
  <si>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</si>
  <si>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</si>
  <si>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</si>
  <si>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</si>
  <si>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</si>
  <si>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</si>
  <si>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</si>
  <si>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</si>
  <si>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</si>
  <si>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</si>
  <si>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</si>
  <si>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</si>
  <si>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</si>
  <si>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</si>
  <si>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</si>
  <si>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</si>
  <si>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</si>
  <si>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</si>
  <si>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</si>
  <si>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</si>
  <si>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</si>
  <si>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</si>
  <si>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</si>
  <si>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</si>
  <si>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</si>
  <si>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</si>
  <si>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</si>
  <si>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</si>
  <si>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</si>
  <si>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</si>
  <si>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</si>
  <si>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</si>
  <si>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</si>
  <si>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</si>
  <si>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</si>
  <si>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</si>
  <si>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</si>
  <si>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</si>
  <si>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</si>
  <si>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</si>
  <si>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</si>
  <si>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</si>
  <si>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</si>
  <si>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</si>
  <si>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</si>
  <si>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</si>
  <si>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</si>
  <si>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</si>
  <si>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</si>
  <si>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</si>
  <si>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</si>
  <si>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</si>
  <si>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</si>
  <si>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</si>
  <si>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</si>
  <si>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</si>
  <si>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</si>
  <si>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</si>
  <si>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</si>
  <si>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</si>
  <si>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</si>
  <si>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</si>
  <si>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</si>
  <si>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</si>
  <si>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</si>
  <si>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</si>
  <si>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</si>
  <si>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</si>
  <si>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</si>
  <si>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</si>
  <si>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</si>
  <si>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</si>
  <si>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</si>
  <si>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</si>
  <si>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</si>
  <si>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</si>
  <si>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</si>
  <si>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</si>
  <si>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</si>
  <si>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</si>
  <si>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</si>
  <si>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</si>
  <si>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</si>
  <si>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</si>
  <si>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</si>
  <si>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</si>
  <si>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</si>
  <si>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</si>
  <si>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</si>
  <si>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</si>
  <si>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</si>
  <si>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</si>
  <si>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</si>
  <si>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</si>
  <si>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</si>
  <si>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</si>
  <si>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</si>
  <si>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</si>
  <si>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</si>
  <si>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</si>
  <si>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</si>
  <si>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</si>
  <si>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</si>
  <si>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</si>
  <si>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</si>
  <si>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</si>
  <si>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</si>
  <si>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</si>
  <si>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</si>
  <si>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</si>
  <si>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</si>
  <si>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</si>
  <si>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</si>
  <si>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</si>
  <si>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</si>
  <si>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</si>
  <si>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</si>
  <si>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</si>
  <si>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</si>
  <si>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</si>
  <si>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</si>
  <si>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</si>
  <si>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</si>
  <si>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</si>
  <si>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</si>
  <si>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</si>
  <si>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</si>
  <si>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</si>
  <si>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</si>
  <si>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</si>
  <si>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</si>
  <si>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</si>
  <si>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</si>
  <si>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</si>
  <si>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</si>
  <si>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</si>
  <si>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</si>
  <si>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</si>
  <si>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</si>
  <si>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</si>
  <si>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</si>
  <si>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</si>
  <si>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</si>
  <si>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</si>
  <si>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</si>
  <si>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</si>
  <si>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</si>
  <si>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</si>
  <si>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</si>
  <si>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</si>
  <si>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</si>
  <si>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</si>
  <si>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</si>
  <si>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</si>
  <si>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</si>
  <si>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</si>
  <si>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</si>
  <si>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</si>
  <si>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</si>
  <si>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</si>
  <si>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</si>
  <si>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</si>
  <si>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</si>
  <si>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</si>
  <si>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</si>
  <si>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</si>
  <si>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</si>
  <si>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</si>
  <si>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</si>
  <si>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</si>
  <si>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</si>
  <si>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</si>
  <si>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</si>
  <si>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</si>
  <si>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</si>
  <si>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</si>
  <si>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</si>
  <si>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</si>
  <si>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</si>
  <si>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</si>
  <si>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</si>
  <si>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</si>
  <si>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</si>
  <si>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</si>
  <si>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</si>
  <si>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</si>
  <si>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</si>
  <si>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</si>
  <si>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</si>
  <si>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</si>
  <si>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</si>
  <si>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</si>
  <si>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</si>
  <si>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</si>
  <si>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</si>
  <si>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</si>
  <si>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</si>
  <si>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</si>
  <si>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</si>
  <si>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</si>
  <si>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</si>
  <si>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</si>
  <si>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</si>
  <si>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</si>
  <si>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</si>
  <si>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</si>
  <si>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</si>
  <si>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</si>
  <si>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</si>
  <si>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</si>
  <si>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</si>
  <si>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</si>
  <si>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</si>
  <si>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</si>
  <si>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</si>
  <si>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</si>
  <si>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</si>
  <si>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</si>
  <si>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</si>
  <si>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</si>
  <si>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</si>
  <si>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</si>
  <si>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</si>
  <si>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</si>
  <si>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</si>
  <si>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</si>
  <si>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</si>
  <si>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</si>
  <si>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</si>
  <si>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</si>
  <si>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</si>
  <si>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</si>
  <si>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</si>
  <si>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</si>
  <si>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Øvrige IPO</t>
  </si>
  <si>
    <t>Ingen tilknyttet virksomhed</t>
  </si>
  <si>
    <t>Ingen bortfald eller nedsættelse</t>
  </si>
  <si>
    <t>Ingen engangstillæg</t>
  </si>
  <si>
    <t xml:space="preserve">Udvidelse af forsyningsområde </t>
  </si>
  <si>
    <t>Flytning af ledninger</t>
  </si>
  <si>
    <t>Tryksatte minipumpestationer (husstandssystemer)</t>
  </si>
  <si>
    <t>30</t>
  </si>
  <si>
    <t>Jordbassin Klasse A</t>
  </si>
  <si>
    <t>50</t>
  </si>
  <si>
    <t>Strømpeforing Ø 1200 mm &lt; Ledningsnet ≤ Ø 1600 mm</t>
  </si>
  <si>
    <t>Ø 200 mm &lt; Ledningsnet ≤ Ø 500 mm</t>
  </si>
  <si>
    <t>75</t>
  </si>
  <si>
    <t>Strømpeforing Ø 500 mm &lt; Ledningsnet ≤ Ø 800 mm</t>
  </si>
  <si>
    <t>Ledningsnet ≤ Ø 200 mm</t>
  </si>
  <si>
    <t>Ø 800 mm &lt; Ledningsnet ≤ Ø 1000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</si>
</sst>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263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41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17</v>
      </c>
      <c r="D14" s="60" t="s">
        <v>264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39</v>
      </c>
      <c r="D15" s="60" t="s">
        <v>104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40</v>
      </c>
      <c r="D16" s="60" t="s">
        <v>188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184</v>
      </c>
      <c r="D17" s="60" t="s">
        <v>189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156</v>
      </c>
      <c r="D18" s="63" t="s">
        <v>134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157</v>
      </c>
      <c r="D19" s="63" t="s">
        <v>135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158</v>
      </c>
      <c r="D21" s="69" t="s">
        <v>13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108</v>
      </c>
      <c r="D22" s="55" t="s">
        <v>190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191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42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159</v>
      </c>
      <c r="D25" s="55" t="s">
        <v>109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160</v>
      </c>
      <c r="D26" s="55" t="s">
        <v>110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161</v>
      </c>
      <c r="D27" s="55" t="s">
        <v>111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16</v>
      </c>
      <c r="D28" s="55" t="s">
        <v>187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44</v>
      </c>
      <c r="D29" s="55" t="s">
        <v>43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45</v>
      </c>
      <c r="D30" s="66" t="s">
        <v>151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203</v>
      </c>
      <c r="C8" s="97"/>
      <c r="D8" s="98"/>
      <c r="E8" s="1"/>
      <c r="F8" s="1"/>
    </row>
    <row r="9" spans="1:6" ht="15" customHeight="1" x14ac:dyDescent="0.2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1605447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271</v>
      </c>
      <c r="C11" s="9">
        <v>109050</v>
      </c>
      <c r="D11" s="14" t="s">
        <v>3</v>
      </c>
      <c r="E11" s="1"/>
      <c r="F11" s="1"/>
    </row>
    <row r="12" spans="1:6" ht="15" customHeight="1" x14ac:dyDescent="0.25">
      <c r="A12" s="1"/>
      <c r="B12" s="49" t="s">
        <v>272</v>
      </c>
      <c r="C12" s="9">
        <v>763000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329413.03999999998</v>
      </c>
      <c r="D13" s="14" t="s">
        <v>3</v>
      </c>
      <c r="E13" s="1"/>
      <c r="F13" s="1"/>
    </row>
    <row r="14" spans="1:6" x14ac:dyDescent="0.25">
      <c r="A14" s="1"/>
      <c r="B14" s="49" t="s">
        <v>274</v>
      </c>
      <c r="C14" s="9">
        <v>173318.74</v>
      </c>
      <c r="D14" s="14" t="s">
        <v>3</v>
      </c>
      <c r="E14" s="1"/>
      <c r="F14" s="1"/>
    </row>
    <row r="15" spans="1:6" x14ac:dyDescent="0.25">
      <c r="A15" s="1"/>
      <c r="B15" s="49" t="s">
        <v>275</v>
      </c>
      <c r="C15" s="9">
        <v>22711.08</v>
      </c>
      <c r="D15" s="14" t="s">
        <v>3</v>
      </c>
      <c r="E15" s="1"/>
      <c r="F15" s="1"/>
    </row>
    <row r="16" spans="1:6" x14ac:dyDescent="0.25">
      <c r="A16" s="1"/>
      <c r="B16" s="37" t="s">
        <v>205</v>
      </c>
      <c r="C16" s="12">
        <f>SUM(C10:C15)</f>
        <v>3002939.8600000003</v>
      </c>
      <c r="D16" s="13" t="s">
        <v>3</v>
      </c>
      <c r="E16" s="1"/>
      <c r="F16" s="1"/>
    </row>
    <row r="17" spans="1:6" x14ac:dyDescent="0.25">
      <c r="A17" s="1"/>
      <c r="B17" s="37" t="s">
        <v>206</v>
      </c>
      <c r="C17" s="12">
        <f>C16*(1+'Fane 14. Nøgletal'!C13)^2</f>
        <v>3076658.5501527628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6" t="s">
        <v>176</v>
      </c>
      <c r="C20" s="97"/>
      <c r="D20" s="98"/>
      <c r="E20" s="1"/>
      <c r="F20" s="1"/>
    </row>
    <row r="21" spans="1:6" x14ac:dyDescent="0.25">
      <c r="A21" s="1"/>
      <c r="B21" s="49" t="s">
        <v>142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143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49" t="s">
        <v>144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49" t="s">
        <v>207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96"/>
      <c r="C25" s="97"/>
      <c r="D25" s="9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6" t="s">
        <v>141</v>
      </c>
      <c r="C28" s="97"/>
      <c r="D28" s="98"/>
      <c r="E28" s="1"/>
      <c r="F28" s="1"/>
    </row>
    <row r="29" spans="1:6" x14ac:dyDescent="0.25">
      <c r="A29" s="1"/>
      <c r="B29" s="49" t="s">
        <v>142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143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144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49" t="s">
        <v>207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6"/>
      <c r="C33" s="97"/>
      <c r="D33" s="9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250</v>
      </c>
      <c r="C8" s="97"/>
      <c r="D8" s="97"/>
      <c r="E8" s="97"/>
      <c r="F8" s="98"/>
      <c r="G8" s="1"/>
    </row>
    <row r="9" spans="1:7" x14ac:dyDescent="0.25">
      <c r="A9" s="1"/>
      <c r="B9" s="99" t="s">
        <v>251</v>
      </c>
      <c r="C9" s="100"/>
      <c r="D9" s="101"/>
      <c r="E9" s="9">
        <v>123336864.25741959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108140475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93" t="s">
        <v>257</v>
      </c>
      <c r="C12" s="94"/>
      <c r="D12" s="95"/>
      <c r="E12" s="10">
        <f>E9-(E10-E11)</f>
        <v>15196389.257419586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4" t="s">
        <v>253</v>
      </c>
      <c r="C14" s="85"/>
      <c r="D14" s="85"/>
      <c r="E14" s="85"/>
      <c r="F14" s="8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51</v>
      </c>
      <c r="C17" s="97"/>
      <c r="D17" s="97"/>
      <c r="E17" s="97"/>
      <c r="F17" s="98"/>
      <c r="G17" s="1"/>
    </row>
    <row r="18" spans="1:7" x14ac:dyDescent="0.25">
      <c r="A18" s="1"/>
      <c r="B18" s="99" t="s">
        <v>52</v>
      </c>
      <c r="C18" s="100"/>
      <c r="D18" s="101"/>
      <c r="E18" s="9">
        <v>136224510.56058493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105707474.87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93" t="s">
        <v>54</v>
      </c>
      <c r="C21" s="94"/>
      <c r="D21" s="95"/>
      <c r="E21" s="10">
        <f>E18-(E19-E20)</f>
        <v>30517035.690584928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4" t="s">
        <v>253</v>
      </c>
      <c r="C23" s="85"/>
      <c r="D23" s="85"/>
      <c r="E23" s="85"/>
      <c r="F23" s="8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254</v>
      </c>
      <c r="C25" s="97"/>
      <c r="D25" s="97"/>
      <c r="E25" s="97"/>
      <c r="F25" s="98"/>
      <c r="G25" s="1"/>
    </row>
    <row r="26" spans="1:7" x14ac:dyDescent="0.25">
      <c r="A26" s="1"/>
      <c r="B26" s="99" t="s">
        <v>255</v>
      </c>
      <c r="C26" s="100"/>
      <c r="D26" s="101"/>
      <c r="E26" s="9">
        <v>121897085.06371085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118860282.52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93" t="s">
        <v>258</v>
      </c>
      <c r="C29" s="94"/>
      <c r="D29" s="95"/>
      <c r="E29" s="10">
        <f>E26-(E27-E28)</f>
        <v>3036802.5437108576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259</v>
      </c>
      <c r="C32" s="97"/>
      <c r="D32" s="97"/>
      <c r="E32" s="97"/>
      <c r="F32" s="98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210</v>
      </c>
      <c r="C9" s="97"/>
      <c r="D9" s="97"/>
      <c r="E9" s="97"/>
      <c r="F9" s="97"/>
      <c r="G9" s="1"/>
    </row>
    <row r="10" spans="1:7" x14ac:dyDescent="0.25">
      <c r="A10" s="1"/>
      <c r="B10" s="84" t="s">
        <v>145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93" t="s">
        <v>146</v>
      </c>
      <c r="C12" s="94"/>
      <c r="D12" s="95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133</v>
      </c>
      <c r="C13" s="97"/>
      <c r="D13" s="97"/>
      <c r="E13" s="97"/>
      <c r="F13" s="97"/>
      <c r="G13" s="1"/>
    </row>
    <row r="14" spans="1:7" x14ac:dyDescent="0.2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25">
      <c r="A15" s="1"/>
      <c r="B15" s="84" t="s">
        <v>213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93" t="s">
        <v>146</v>
      </c>
      <c r="C16" s="94"/>
      <c r="D16" s="95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236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ht="39" x14ac:dyDescent="0.25">
      <c r="A10" s="1"/>
      <c r="B10" s="51" t="s">
        <v>281</v>
      </c>
      <c r="C10" s="122" t="s">
        <v>282</v>
      </c>
      <c r="D10" s="9">
        <v>2808376.94</v>
      </c>
      <c r="E10" s="9">
        <f>IFERROR(D10/C10,0)</f>
        <v>93612.564666666658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1" t="s">
        <v>283</v>
      </c>
      <c r="C11" s="122" t="s">
        <v>284</v>
      </c>
      <c r="D11" s="9">
        <v>3979123.28</v>
      </c>
      <c r="E11" s="9">
        <f t="shared" ref="E11:E15" si="0">IFERROR(D11/C11,0)</f>
        <v>79582.465599999996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1" t="s">
        <v>285</v>
      </c>
      <c r="C12" s="122" t="s">
        <v>284</v>
      </c>
      <c r="D12" s="9">
        <v>4111667</v>
      </c>
      <c r="E12" s="9">
        <f t="shared" si="0"/>
        <v>82233.34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1" t="s">
        <v>286</v>
      </c>
      <c r="C13" s="122" t="s">
        <v>287</v>
      </c>
      <c r="D13" s="9">
        <v>3084255.62</v>
      </c>
      <c r="E13" s="9">
        <f t="shared" si="0"/>
        <v>41123.408266666665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1" t="s">
        <v>283</v>
      </c>
      <c r="C14" s="122" t="s">
        <v>284</v>
      </c>
      <c r="D14" s="9">
        <v>2222122.5499999998</v>
      </c>
      <c r="E14" s="9">
        <f t="shared" si="0"/>
        <v>44442.450999999994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1" t="s">
        <v>288</v>
      </c>
      <c r="C15" s="122" t="s">
        <v>284</v>
      </c>
      <c r="D15" s="9">
        <v>2350000</v>
      </c>
      <c r="E15" s="9">
        <f t="shared" si="0"/>
        <v>47000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1" t="s">
        <v>289</v>
      </c>
      <c r="C16" s="122" t="s">
        <v>287</v>
      </c>
      <c r="D16" s="9">
        <v>400000</v>
      </c>
      <c r="E16" s="9">
        <f t="shared" ref="E16:E17" si="1">IFERROR(D16/C16,0)</f>
        <v>5333.333333333333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1" t="s">
        <v>290</v>
      </c>
      <c r="C17" s="122" t="s">
        <v>287</v>
      </c>
      <c r="D17" s="9">
        <v>1334041.8999999999</v>
      </c>
      <c r="E17" s="9">
        <f t="shared" si="1"/>
        <v>17787.225333333332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96" t="s">
        <v>237</v>
      </c>
      <c r="C18" s="97"/>
      <c r="D18" s="98"/>
      <c r="E18" s="12">
        <f>SUM(E10:E17)</f>
        <v>411114.78819999995</v>
      </c>
      <c r="F18" s="12">
        <f t="shared" ref="F18:G18" si="2">SUM(F10:F17)</f>
        <v>0</v>
      </c>
      <c r="G18" s="12">
        <f t="shared" si="2"/>
        <v>0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Anlægsprojekter'!F18</f>
        <v>0</v>
      </c>
      <c r="D10" s="14" t="s">
        <v>3</v>
      </c>
      <c r="E10" s="9">
        <f>SUM('Fane 9. Anlægsprojekter'!E18,'Fane 9. Anlægsprojekter'!G18)</f>
        <v>411114.78819999995</v>
      </c>
      <c r="F10" s="14" t="s">
        <v>3</v>
      </c>
      <c r="G10" s="1"/>
    </row>
    <row r="11" spans="1:7" x14ac:dyDescent="0.25">
      <c r="A11" s="1"/>
      <c r="B11" s="123" t="s">
        <v>280</v>
      </c>
      <c r="C11" s="22">
        <v>0</v>
      </c>
      <c r="D11" s="14" t="s">
        <v>3</v>
      </c>
      <c r="E11" s="9">
        <v>1907</v>
      </c>
      <c r="F11" s="14" t="s">
        <v>3</v>
      </c>
      <c r="G11" s="1"/>
    </row>
    <row r="12" spans="1:7" x14ac:dyDescent="0.25">
      <c r="A12" s="1"/>
      <c r="B12" s="25" t="s">
        <v>279</v>
      </c>
      <c r="C12" s="22">
        <v>0</v>
      </c>
      <c r="D12" s="14" t="s">
        <v>3</v>
      </c>
      <c r="E12" s="9">
        <v>290274</v>
      </c>
      <c r="F12" s="14" t="s">
        <v>3</v>
      </c>
      <c r="G12" s="1"/>
    </row>
    <row r="13" spans="1:7" x14ac:dyDescent="0.25">
      <c r="A13" s="1"/>
      <c r="B13" s="37" t="s">
        <v>49</v>
      </c>
      <c r="C13" s="12">
        <f>SUM(C10:C12)</f>
        <v>0</v>
      </c>
      <c r="D13" s="13" t="s">
        <v>3</v>
      </c>
      <c r="E13" s="12">
        <f>SUM(E10:E12)</f>
        <v>703295.78819999995</v>
      </c>
      <c r="F13" s="13" t="s">
        <v>3</v>
      </c>
      <c r="G13" s="1"/>
    </row>
    <row r="14" spans="1:7" x14ac:dyDescent="0.25">
      <c r="A14" s="1"/>
      <c r="B14" s="37" t="s">
        <v>215</v>
      </c>
      <c r="C14" s="12">
        <f>C13*(1+'Fane 14. Nøgletal'!C13)</f>
        <v>0</v>
      </c>
      <c r="D14" s="13" t="s">
        <v>3</v>
      </c>
      <c r="E14" s="12">
        <f>E13*(1+'Fane 14. Nøgletal'!C13)</f>
        <v>711875.9968160399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136</v>
      </c>
      <c r="C8" s="97"/>
      <c r="D8" s="97"/>
      <c r="E8" s="97"/>
      <c r="F8" s="98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137</v>
      </c>
      <c r="C16" s="97"/>
      <c r="D16" s="97"/>
      <c r="E16" s="97"/>
      <c r="F16" s="98"/>
      <c r="G16" s="1"/>
    </row>
    <row r="17" spans="1:7" x14ac:dyDescent="0.2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2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138</v>
      </c>
      <c r="C24" s="97"/>
      <c r="D24" s="97"/>
      <c r="E24" s="97"/>
      <c r="F24" s="98"/>
      <c r="G24" s="1"/>
    </row>
    <row r="25" spans="1:7" x14ac:dyDescent="0.2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2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218</v>
      </c>
      <c r="C32" s="97"/>
      <c r="D32" s="97"/>
      <c r="E32" s="97"/>
      <c r="F32" s="98"/>
      <c r="G32" s="1"/>
    </row>
    <row r="33" spans="1:7" x14ac:dyDescent="0.2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2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+bfc471t1k62OF4I+8dzEjWsM98b3df3pEkGOiVJkmBchKFM1ikWCxktqG9lTe41l7/HPgVJfRNixKMsn4B0Lg==" saltValue="fhB4IOheiF9/KmfYFvN+d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175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4"/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123</v>
      </c>
      <c r="C8" s="97"/>
      <c r="D8" s="97"/>
      <c r="E8" s="97"/>
      <c r="F8" s="98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1" t="s">
        <v>10</v>
      </c>
      <c r="C10" s="82"/>
      <c r="D10" s="83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6" t="s">
        <v>126</v>
      </c>
      <c r="C12" s="97"/>
      <c r="D12" s="98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124</v>
      </c>
      <c r="C14" s="97"/>
      <c r="D14" s="97"/>
      <c r="E14" s="97"/>
      <c r="F14" s="98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1" t="s">
        <v>10</v>
      </c>
      <c r="C16" s="82"/>
      <c r="D16" s="83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6" t="s">
        <v>127</v>
      </c>
      <c r="C18" s="97"/>
      <c r="D18" s="9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125</v>
      </c>
      <c r="C20" s="97"/>
      <c r="D20" s="97"/>
      <c r="E20" s="97"/>
      <c r="F20" s="98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1" t="s">
        <v>10</v>
      </c>
      <c r="C22" s="82"/>
      <c r="D22" s="83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6" t="s">
        <v>128</v>
      </c>
      <c r="C24" s="97"/>
      <c r="D24" s="9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220</v>
      </c>
      <c r="C26" s="97"/>
      <c r="D26" s="97"/>
      <c r="E26" s="97"/>
      <c r="F26" s="98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1" t="s">
        <v>10</v>
      </c>
      <c r="C28" s="82"/>
      <c r="D28" s="83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6" t="s">
        <v>221</v>
      </c>
      <c r="C30" s="97"/>
      <c r="D30" s="9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222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223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224</v>
      </c>
      <c r="C9" s="87" t="s">
        <v>12</v>
      </c>
      <c r="D9" s="89"/>
      <c r="E9" s="120" t="s">
        <v>36</v>
      </c>
      <c r="F9" s="121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130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129</v>
      </c>
      <c r="C14" s="97"/>
      <c r="D14" s="97"/>
      <c r="E14" s="97"/>
      <c r="F14" s="98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131</v>
      </c>
      <c r="C20" s="97"/>
      <c r="D20" s="97"/>
      <c r="E20" s="97"/>
      <c r="F20" s="98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4" t="s">
        <v>265</v>
      </c>
      <c r="C3" s="74"/>
      <c r="D3" s="1"/>
    </row>
    <row r="4" spans="1:4" ht="25.5" customHeight="1" x14ac:dyDescent="0.25">
      <c r="A4" s="1"/>
      <c r="B4" s="74"/>
      <c r="C4" s="7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8" t="s">
        <v>27</v>
      </c>
      <c r="C9" s="7">
        <f>'Fane 3. Omkostninger i ØR2020'!E22</f>
        <v>120198428.96764928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-192767.76801671408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244805.41183050332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693031.0264346411</v>
      </c>
      <c r="D13" s="8" t="s">
        <v>3</v>
      </c>
      <c r="E13" s="1"/>
    </row>
    <row r="14" spans="1:5" ht="17.100000000000001" customHeight="1" x14ac:dyDescent="0.25">
      <c r="A14" s="1"/>
      <c r="B14" s="46" t="s">
        <v>46</v>
      </c>
      <c r="C14" s="7">
        <f>'Fane 10.1. Varige tillæg'!C14</f>
        <v>0</v>
      </c>
      <c r="D14" s="8" t="s">
        <v>3</v>
      </c>
      <c r="E14" s="1"/>
    </row>
    <row r="15" spans="1:5" ht="17.100000000000001" customHeight="1" x14ac:dyDescent="0.25">
      <c r="A15" s="1"/>
      <c r="B15" s="46" t="s">
        <v>47</v>
      </c>
      <c r="C15" s="9">
        <f>'Fane 10.1. Varige tillæg'!E14</f>
        <v>711875.9968160399</v>
      </c>
      <c r="D15" s="8" t="s">
        <v>3</v>
      </c>
      <c r="E15" s="1"/>
    </row>
    <row r="16" spans="1:5" ht="17.100000000000001" customHeight="1" x14ac:dyDescent="0.2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2113650.8397668861</v>
      </c>
      <c r="D20" s="8" t="s">
        <v>3</v>
      </c>
      <c r="E20" s="1"/>
    </row>
    <row r="21" spans="1:5" ht="17.100000000000001" customHeight="1" x14ac:dyDescent="0.2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6" t="s">
        <v>29</v>
      </c>
      <c r="C22" s="9">
        <f>-'Fane 4.1. Gen. krav - drift'!G36</f>
        <v>-832223.46272426366</v>
      </c>
      <c r="D22" s="8" t="s">
        <v>3</v>
      </c>
      <c r="E22" s="1"/>
    </row>
    <row r="23" spans="1:5" ht="15" customHeight="1" x14ac:dyDescent="0.25">
      <c r="A23" s="1"/>
      <c r="B23" s="46" t="s">
        <v>30</v>
      </c>
      <c r="C23" s="9">
        <f>-'Fane 4.2. Gen. krav - anlæg'!G35</f>
        <v>-1460278.6265808565</v>
      </c>
      <c r="D23" s="8" t="s">
        <v>3</v>
      </c>
      <c r="E23" s="1"/>
    </row>
    <row r="24" spans="1:5" ht="15" customHeight="1" x14ac:dyDescent="0.25">
      <c r="A24" s="1"/>
      <c r="B24" s="45" t="s">
        <v>22</v>
      </c>
      <c r="C24" s="10">
        <f>SUM(C9,C14:C23)</f>
        <v>120731453.71492709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omk.'!C17+'Fane 6. Ikke-påvirkelige omk.'!C21+'Fane 6. Ikke-påvirkelige omk.'!C29</f>
        <v>3076658.5501527628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123808112.26507986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8" t="s">
        <v>28</v>
      </c>
      <c r="C9" s="7">
        <f>'Fane 2.1. Økonomisk ramme 2021'!C24</f>
        <v>120731453.71492709</v>
      </c>
      <c r="D9" s="8" t="s">
        <v>3</v>
      </c>
      <c r="E9" s="1"/>
    </row>
    <row r="10" spans="1:5" ht="15" customHeight="1" x14ac:dyDescent="0.2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1472923.7353221106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-825529.05719010986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-2236353.082251607</v>
      </c>
      <c r="D15" s="8" t="s">
        <v>3</v>
      </c>
      <c r="E15" s="1"/>
    </row>
    <row r="16" spans="1:5" ht="15" customHeight="1" x14ac:dyDescent="0.25">
      <c r="A16" s="1"/>
      <c r="B16" s="42" t="s">
        <v>22</v>
      </c>
      <c r="C16" s="10">
        <f>SUM(C9:C15)</f>
        <v>119142495.3108075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omk.'!C17*(1+'Fane 14. Nøgletal'!C13)+'Fane 6. Ikke-påvirkelige omk.'!C22+'Fane 6. Ikke-påvirkelige omk.'!C30</f>
        <v>3114193.7844646266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122256689.09527212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155</v>
      </c>
      <c r="C8" s="7">
        <f>'Fane 2.2. Økonomisk ramme 2022'!C16</f>
        <v>119142495.3108075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1453538.4427918515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-818888.50145407242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-2201386.5836340617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117575758.66851121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Nøgletal'!C13)^2+'Fane 6. Ikke-påvirkelige omk.'!C23+'Fane 6. Ikke-påvirkelige omk.'!C31</f>
        <v>3152186.9486350948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120727945.61714631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198</v>
      </c>
      <c r="C8" s="7">
        <f>'Fane 2.3. Økonomisk ramme 2023'!C15</f>
        <v>117575758.66851121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1434424.2557558368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-812301.36234837596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-2166966.8037056513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116030914.75821303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Nøgletal'!C13)^3+'Fane 6. Ikke-påvirkelige omk.'!C24+'Fane 6. Ikke-påvirkelige omk.'!C32</f>
        <v>3190643.6294084433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119221558.38762148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200</v>
      </c>
      <c r="C3" s="74"/>
      <c r="D3" s="74"/>
      <c r="E3" s="74"/>
      <c r="F3" s="74"/>
      <c r="G3" s="1"/>
    </row>
    <row r="4" spans="1:7" ht="29.2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5" t="s">
        <v>25</v>
      </c>
      <c r="C9" s="76"/>
      <c r="D9" s="77"/>
      <c r="E9" s="7">
        <v>119666955.02973588</v>
      </c>
      <c r="F9" s="8" t="s">
        <v>3</v>
      </c>
      <c r="G9" s="1"/>
    </row>
    <row r="10" spans="1:7" x14ac:dyDescent="0.25">
      <c r="A10" s="1"/>
      <c r="B10" s="81" t="s">
        <v>233</v>
      </c>
      <c r="C10" s="82"/>
      <c r="D10" s="83"/>
      <c r="E10" s="7">
        <v>-193432.78994855724</v>
      </c>
      <c r="F10" s="8" t="s">
        <v>3</v>
      </c>
      <c r="G10" s="1"/>
    </row>
    <row r="11" spans="1:7" x14ac:dyDescent="0.25">
      <c r="A11" s="1"/>
      <c r="B11" s="81" t="s">
        <v>234</v>
      </c>
      <c r="C11" s="82"/>
      <c r="D11" s="83"/>
      <c r="E11" s="7">
        <v>242849.75007861279</v>
      </c>
      <c r="F11" s="8" t="s">
        <v>3</v>
      </c>
      <c r="G11" s="1"/>
    </row>
    <row r="12" spans="1:7" x14ac:dyDescent="0.25">
      <c r="A12" s="1"/>
      <c r="B12" s="78" t="s">
        <v>46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47</v>
      </c>
      <c r="C13" s="79"/>
      <c r="D13" s="80"/>
      <c r="E13" s="9">
        <v>699508.10776836006</v>
      </c>
      <c r="F13" s="8" t="s">
        <v>3</v>
      </c>
      <c r="G13" s="1"/>
    </row>
    <row r="14" spans="1:7" x14ac:dyDescent="0.25">
      <c r="A14" s="1"/>
      <c r="B14" s="78" t="s">
        <v>32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31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193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194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20</v>
      </c>
      <c r="C18" s="79"/>
      <c r="D18" s="80"/>
      <c r="E18" s="9">
        <f>(E9-SUM(E10:E11))*'Fane 14. Nøgletal'!C10+SUM(E10:E11)*'Fane 14. Nøgletal'!C11+SUM(E12:E17)*'Fane 14. Nøgletal'!C12</f>
        <v>2107922.372567337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78" t="s">
        <v>29</v>
      </c>
      <c r="C20" s="79"/>
      <c r="D20" s="80"/>
      <c r="E20" s="9">
        <f>-'Fane 4.1. Gen. krav - drift'!G28</f>
        <v>-834599.75882369489</v>
      </c>
      <c r="F20" s="8" t="s">
        <v>3</v>
      </c>
      <c r="G20" s="1"/>
    </row>
    <row r="21" spans="1:7" x14ac:dyDescent="0.25">
      <c r="A21" s="1"/>
      <c r="B21" s="78" t="s">
        <v>30</v>
      </c>
      <c r="C21" s="79"/>
      <c r="D21" s="80"/>
      <c r="E21" s="9">
        <f>-'Fane 4.2. Gen. krav - anlæg'!G27</f>
        <v>-1441356.7835986074</v>
      </c>
      <c r="F21" s="8" t="s">
        <v>3</v>
      </c>
      <c r="G21" s="1"/>
    </row>
    <row r="22" spans="1:7" x14ac:dyDescent="0.25">
      <c r="A22" s="1"/>
      <c r="B22" s="90" t="s">
        <v>22</v>
      </c>
      <c r="C22" s="91"/>
      <c r="D22" s="92"/>
      <c r="E22" s="10">
        <f>SUM(E9,E12:E21)</f>
        <v>120198428.96764928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87" t="s">
        <v>13</v>
      </c>
      <c r="C24" s="88"/>
      <c r="D24" s="89"/>
      <c r="E24" s="10">
        <v>3253278.4013471249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3" t="s">
        <v>111</v>
      </c>
      <c r="C26" s="94"/>
      <c r="D26" s="95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1" t="s">
        <v>106</v>
      </c>
      <c r="C28" s="82"/>
      <c r="D28" s="83"/>
      <c r="E28" s="34">
        <v>0</v>
      </c>
      <c r="F28" s="8" t="s">
        <v>3</v>
      </c>
      <c r="G28" s="1"/>
    </row>
    <row r="29" spans="1:7" ht="15.75" customHeight="1" x14ac:dyDescent="0.25">
      <c r="A29" s="1"/>
      <c r="B29" s="81" t="s">
        <v>107</v>
      </c>
      <c r="C29" s="82"/>
      <c r="D29" s="83"/>
      <c r="E29" s="34">
        <v>0</v>
      </c>
      <c r="F29" s="8" t="s">
        <v>3</v>
      </c>
      <c r="G29" s="1"/>
    </row>
    <row r="30" spans="1:7" x14ac:dyDescent="0.2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87" t="s">
        <v>267</v>
      </c>
      <c r="C32" s="88"/>
      <c r="D32" s="89"/>
      <c r="E32" s="10">
        <v>-2380591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87" t="s">
        <v>269</v>
      </c>
      <c r="C34" s="88"/>
      <c r="D34" s="89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121071116.36899641</v>
      </c>
      <c r="F35" s="13" t="s">
        <v>3</v>
      </c>
      <c r="G35" s="1"/>
    </row>
    <row r="36" spans="1:7" ht="26.85" customHeight="1" x14ac:dyDescent="0.25">
      <c r="A36" s="1"/>
      <c r="B36" s="84" t="s">
        <v>202</v>
      </c>
      <c r="C36" s="85"/>
      <c r="D36" s="85"/>
      <c r="E36" s="85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167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6" t="s">
        <v>66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42129081.489402078</v>
      </c>
      <c r="H5" s="14" t="s">
        <v>3</v>
      </c>
      <c r="I5" s="1"/>
    </row>
    <row r="6" spans="1:9" x14ac:dyDescent="0.25">
      <c r="A6" s="1"/>
      <c r="B6" s="84" t="s">
        <v>183</v>
      </c>
      <c r="C6" s="85"/>
      <c r="D6" s="85"/>
      <c r="E6" s="85"/>
      <c r="F6" s="8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842581.62978804158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67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42009013.607157283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-40377.518339376096</v>
      </c>
      <c r="H12" s="14" t="s">
        <v>3</v>
      </c>
      <c r="I12" s="1"/>
    </row>
    <row r="13" spans="1:9" x14ac:dyDescent="0.25">
      <c r="A13" s="1"/>
      <c r="B13" s="84" t="s">
        <v>182</v>
      </c>
      <c r="C13" s="85"/>
      <c r="D13" s="85"/>
      <c r="E13" s="85"/>
      <c r="F13" s="86"/>
      <c r="G13" s="24">
        <v>0</v>
      </c>
      <c r="H13" s="14" t="s">
        <v>3</v>
      </c>
      <c r="I13" s="1"/>
    </row>
    <row r="14" spans="1:9" x14ac:dyDescent="0.25">
      <c r="A14" s="1"/>
      <c r="B14" s="107" t="s">
        <v>58</v>
      </c>
      <c r="C14" s="105"/>
      <c r="D14" s="105"/>
      <c r="E14" s="105"/>
      <c r="F14" s="106"/>
      <c r="G14" s="24">
        <v>198061.33276875003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843333.9484317333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6" t="s">
        <v>68</v>
      </c>
      <c r="C18" s="97"/>
      <c r="D18" s="97"/>
      <c r="E18" s="97"/>
      <c r="F18" s="97"/>
      <c r="G18" s="97"/>
      <c r="H18" s="98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42046522.333935149</v>
      </c>
      <c r="H19" s="14" t="s">
        <v>3</v>
      </c>
      <c r="I19" s="1"/>
    </row>
    <row r="20" spans="1:9" x14ac:dyDescent="0.25">
      <c r="A20" s="1"/>
      <c r="B20" s="107" t="s">
        <v>61</v>
      </c>
      <c r="C20" s="105"/>
      <c r="D20" s="105"/>
      <c r="E20" s="105"/>
      <c r="F20" s="106"/>
      <c r="G20" s="24">
        <v>-197380.39790669107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836982.83872056915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6" t="s">
        <v>69</v>
      </c>
      <c r="C24" s="97"/>
      <c r="D24" s="97"/>
      <c r="E24" s="97"/>
      <c r="F24" s="97"/>
      <c r="G24" s="97"/>
      <c r="H24" s="98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41729987.941184744</v>
      </c>
      <c r="H25" s="14" t="s">
        <v>3</v>
      </c>
      <c r="I25" s="1"/>
    </row>
    <row r="26" spans="1:9" x14ac:dyDescent="0.25">
      <c r="A26" s="1"/>
      <c r="B26" s="102" t="s">
        <v>180</v>
      </c>
      <c r="C26" s="103"/>
      <c r="D26" s="103"/>
      <c r="E26" s="103"/>
      <c r="F26" s="104"/>
      <c r="G26" s="24">
        <f>G20*(1-'Fane 14. Nøgletal'!C27)*(1+'Fane 14. Nøgletal'!C11)</f>
        <v>-196701.80409868783</v>
      </c>
      <c r="H26" s="14" t="s">
        <v>3</v>
      </c>
      <c r="I26" s="1"/>
    </row>
    <row r="27" spans="1:9" x14ac:dyDescent="0.25">
      <c r="A27" s="1"/>
      <c r="B27" s="107" t="s">
        <v>64</v>
      </c>
      <c r="C27" s="105"/>
      <c r="D27" s="105"/>
      <c r="E27" s="105"/>
      <c r="F27" s="106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834599.75882369489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72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41611173.136213183</v>
      </c>
      <c r="H32" s="14" t="s">
        <v>3</v>
      </c>
      <c r="I32" s="1"/>
    </row>
    <row r="33" spans="1:9" x14ac:dyDescent="0.25">
      <c r="A33" s="1"/>
      <c r="B33" s="102" t="s">
        <v>180</v>
      </c>
      <c r="C33" s="105"/>
      <c r="D33" s="105"/>
      <c r="E33" s="105"/>
      <c r="F33" s="106"/>
      <c r="G33" s="24">
        <f>G26*(1-'Fane 14. Nøgletal'!C27)*(1+'Fane 14. Nøgletal'!C11)</f>
        <v>-196025.54329619653</v>
      </c>
      <c r="H33" s="14" t="s">
        <v>3</v>
      </c>
      <c r="I33" s="1"/>
    </row>
    <row r="34" spans="1:9" x14ac:dyDescent="0.25">
      <c r="A34" s="1"/>
      <c r="B34" s="102" t="s">
        <v>181</v>
      </c>
      <c r="C34" s="105"/>
      <c r="D34" s="105"/>
      <c r="E34" s="105"/>
      <c r="F34" s="106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0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832223.46272426366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6" t="s">
        <v>99</v>
      </c>
      <c r="C39" s="97"/>
      <c r="D39" s="97"/>
      <c r="E39" s="97"/>
      <c r="F39" s="97"/>
      <c r="G39" s="97"/>
      <c r="H39" s="98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41276452.859505489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825529.05719010986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6" t="s">
        <v>100</v>
      </c>
      <c r="C45" s="97"/>
      <c r="D45" s="97"/>
      <c r="E45" s="97"/>
      <c r="F45" s="97"/>
      <c r="G45" s="97"/>
      <c r="H45" s="98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40944425.072703622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818888.50145407242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6" t="s">
        <v>240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40615068.117418796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812301.36234837596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" style="2" customWidth="1"/>
    <col min="7" max="7" width="10.710937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6" t="s">
        <v>70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79341482.939911634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722007.4947531959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78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79995316.265448719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233427.31891325233</v>
      </c>
      <c r="H12" s="14" t="s">
        <v>3</v>
      </c>
      <c r="I12" s="1"/>
    </row>
    <row r="13" spans="1:9" x14ac:dyDescent="0.25">
      <c r="A13" s="1"/>
      <c r="B13" s="107" t="s">
        <v>80</v>
      </c>
      <c r="C13" s="105"/>
      <c r="D13" s="105"/>
      <c r="E13" s="105"/>
      <c r="F13" s="106"/>
      <c r="G13" s="24">
        <v>19766.066925000003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1420398.6208277794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82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80207602.973492235</v>
      </c>
      <c r="H18" s="14" t="s">
        <v>3</v>
      </c>
      <c r="I18" s="1"/>
    </row>
    <row r="19" spans="1:9" x14ac:dyDescent="0.25">
      <c r="A19" s="1"/>
      <c r="B19" s="107" t="s">
        <v>84</v>
      </c>
      <c r="C19" s="105"/>
      <c r="D19" s="105"/>
      <c r="E19" s="105"/>
      <c r="F19" s="106"/>
      <c r="G19" s="24">
        <v>244981.08552265994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1421805.9080748598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86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80413671.058731422</v>
      </c>
      <c r="H24" s="14" t="s">
        <v>3</v>
      </c>
      <c r="I24" s="1"/>
    </row>
    <row r="25" spans="1:9" x14ac:dyDescent="0.25">
      <c r="A25" s="1"/>
      <c r="B25" s="102" t="s">
        <v>177</v>
      </c>
      <c r="C25" s="105"/>
      <c r="D25" s="105"/>
      <c r="E25" s="105"/>
      <c r="F25" s="106"/>
      <c r="G25" s="24">
        <f>G19*(1-'Fane 14. Nøgletal'!C20)*(1+'Fane 14. Nøgletal'!C11)</f>
        <v>246953.91085494132</v>
      </c>
      <c r="H25" s="14" t="s">
        <v>3</v>
      </c>
      <c r="I25" s="1"/>
    </row>
    <row r="26" spans="1:9" x14ac:dyDescent="0.25">
      <c r="A26" s="1"/>
      <c r="B26" s="107" t="s">
        <v>88</v>
      </c>
      <c r="C26" s="105"/>
      <c r="D26" s="105"/>
      <c r="E26" s="105"/>
      <c r="F26" s="106"/>
      <c r="G26" s="24">
        <v>713288.41749139677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1441356.7835986074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6" t="s">
        <v>90</v>
      </c>
      <c r="C30" s="97"/>
      <c r="D30" s="97"/>
      <c r="E30" s="97"/>
      <c r="F30" s="97"/>
      <c r="G30" s="97"/>
      <c r="H30" s="98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81081478.524756193</v>
      </c>
      <c r="H31" s="14" t="s">
        <v>3</v>
      </c>
      <c r="I31" s="1"/>
    </row>
    <row r="32" spans="1:9" x14ac:dyDescent="0.25">
      <c r="A32" s="1"/>
      <c r="B32" s="102" t="s">
        <v>178</v>
      </c>
      <c r="C32" s="105"/>
      <c r="D32" s="105"/>
      <c r="E32" s="105"/>
      <c r="F32" s="106"/>
      <c r="G32" s="24">
        <f>G25*(1-'Fane 14. Nøgletal'!C20)*(1+'Fane 14. Nøgletal'!C11)</f>
        <v>248942.62329043882</v>
      </c>
      <c r="H32" s="14" t="s">
        <v>3</v>
      </c>
      <c r="I32" s="1"/>
    </row>
    <row r="33" spans="1:9" x14ac:dyDescent="0.25">
      <c r="A33" s="1"/>
      <c r="B33" s="102" t="s">
        <v>179</v>
      </c>
      <c r="C33" s="105"/>
      <c r="D33" s="105"/>
      <c r="E33" s="105"/>
      <c r="F33" s="106"/>
      <c r="G33" s="24">
        <f>G26*(1-'Fane 14. Nøgletal'!C21)*(1+'Fane 14. Nøgletal'!C12)</f>
        <v>706683.73765540356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720560.8839771956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1460278.6265808565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6" t="s">
        <v>101</v>
      </c>
      <c r="C38" s="97"/>
      <c r="D38" s="97"/>
      <c r="E38" s="97"/>
      <c r="F38" s="97"/>
      <c r="G38" s="97"/>
      <c r="H38" s="98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81321930.263694793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2236353.082251607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6" t="s">
        <v>102</v>
      </c>
      <c r="C44" s="97"/>
      <c r="D44" s="97"/>
      <c r="E44" s="97"/>
      <c r="F44" s="97"/>
      <c r="G44" s="97"/>
      <c r="H44" s="98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80050421.223056793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2201386.5836340617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6" t="s">
        <v>245</v>
      </c>
      <c r="C51" s="97"/>
      <c r="D51" s="97"/>
      <c r="E51" s="97"/>
      <c r="F51" s="97"/>
      <c r="G51" s="97"/>
      <c r="H51" s="98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78798792.862023681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2166966.8037056513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CDSPU2p87BTlwVZ8qUKYzSbzAGBXRY7R70O8wFnnWwtipw2a+ZkdWBzHebgZF2m9N+W7VDeK1wIOQPxdtHNVPg==" saltValue="KxbedhswLgITxdaIcGr9gg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3.007684125891081E-3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4" t="s">
        <v>152</v>
      </c>
      <c r="C12" s="85"/>
      <c r="D12" s="85"/>
      <c r="E12" s="85"/>
      <c r="F12" s="85"/>
      <c r="G12" s="85"/>
      <c r="H12" s="8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2020-09-14T11:12:25Z</dcterms:modified>
</cp:coreProperties>
</file>