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rederikssund AS (S02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E34" i="32" l="1"/>
  <c r="C15" i="19" l="1"/>
  <c r="E34" i="27" l="1"/>
  <c r="C21" i="23"/>
  <c r="C21" i="22"/>
  <c r="C22" i="15"/>
  <c r="C38" i="2"/>
  <c r="G18" i="41" l="1"/>
  <c r="E26" i="32" l="1"/>
  <c r="E36" i="32" l="1"/>
  <c r="C19" i="23" s="1"/>
  <c r="E30" i="32"/>
  <c r="C36" i="2" s="1"/>
  <c r="F10" i="11"/>
  <c r="C20" i="15" l="1"/>
  <c r="C19" i="22"/>
  <c r="J11" i="11" l="1"/>
  <c r="H11" i="11"/>
  <c r="C16" i="19" l="1"/>
  <c r="C15" i="23" l="1"/>
  <c r="C15" i="22"/>
  <c r="C16" i="15"/>
  <c r="C24" i="2"/>
  <c r="G34" i="30"/>
  <c r="C11" i="2"/>
  <c r="C10" i="2"/>
  <c r="C10" i="37" l="1"/>
  <c r="C14" i="37" s="1"/>
  <c r="G7" i="30" l="1"/>
  <c r="G11" i="30" s="1"/>
  <c r="E10" i="39" l="1"/>
  <c r="E11" i="39" s="1"/>
  <c r="C10" i="39"/>
  <c r="C11" i="39" s="1"/>
  <c r="E16" i="27" l="1"/>
  <c r="E30" i="20" l="1"/>
  <c r="E29" i="20"/>
  <c r="E17" i="20"/>
  <c r="E11" i="20"/>
  <c r="E31" i="20" l="1"/>
  <c r="C17" i="23" s="1"/>
  <c r="C29" i="2"/>
  <c r="C31" i="2" s="1"/>
  <c r="C28" i="2"/>
  <c r="C30" i="2" l="1"/>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4"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5" i="37" l="1"/>
  <c r="C12" i="2" s="1"/>
  <c r="E11" i="29"/>
  <c r="E12" i="29" s="1"/>
  <c r="C11" i="29"/>
  <c r="C12" i="29" s="1"/>
  <c r="C17" i="2" l="1"/>
  <c r="C16" i="2"/>
  <c r="G47" i="30" s="1"/>
  <c r="G42" i="30" l="1"/>
  <c r="E15"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<sst xmlns="http://schemas.openxmlformats.org/spreadsheetml/2006/main" count="635" uniqueCount="295">
  <si>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</si>
  <si>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</si>
  <si>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</si>
  <si>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</si>
  <si>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</si>
  <si>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</si>
  <si>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</si>
  <si>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</si>
  <si>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</si>
  <si>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</si>
  <si>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</si>
  <si>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</si>
  <si>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</si>
  <si>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</si>
  <si>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</si>
  <si>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</si>
  <si>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</si>
  <si>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</si>
  <si>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</si>
  <si>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</si>
  <si>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</si>
  <si>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</si>
  <si>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</si>
  <si>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</si>
  <si>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</si>
  <si>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</si>
  <si>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</si>
  <si>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</si>
  <si>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</si>
  <si>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</si>
  <si>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</si>
  <si>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</si>
  <si>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</si>
  <si>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</si>
  <si>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</si>
  <si>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</si>
  <si>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</si>
  <si>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</si>
  <si>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</si>
  <si>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</si>
  <si>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</si>
  <si>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</si>
  <si>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</si>
  <si>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</si>
  <si>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</si>
  <si>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</si>
  <si>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</si>
  <si>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</si>
  <si>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</si>
  <si>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</si>
  <si>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</si>
  <si>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</si>
  <si>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</si>
  <si>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</si>
  <si>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</si>
  <si>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</si>
  <si>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</si>
  <si>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</si>
  <si>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</si>
  <si>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</si>
  <si>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</si>
  <si>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</si>
  <si>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</si>
  <si>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</si>
  <si>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</si>
  <si>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</si>
  <si>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</si>
  <si>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</si>
  <si>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</si>
  <si>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</si>
  <si>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</si>
  <si>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</si>
  <si>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</si>
  <si>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</si>
  <si>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</si>
  <si>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</si>
  <si>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</si>
  <si>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</si>
  <si>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</si>
  <si>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</si>
  <si>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</si>
  <si>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</si>
  <si>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</si>
  <si>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</si>
  <si>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</si>
  <si>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</si>
  <si>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</si>
  <si>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</si>
  <si>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</si>
  <si>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</si>
  <si>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</si>
  <si>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</si>
  <si>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</si>
  <si>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</si>
  <si>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</si>
  <si>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</si>
  <si>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</si>
  <si>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</si>
  <si>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</si>
  <si>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</si>
  <si>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</si>
  <si>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</si>
  <si>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</si>
  <si>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</si>
  <si>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</si>
  <si>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</si>
  <si>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</si>
  <si>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</si>
  <si>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</si>
  <si>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</si>
  <si>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</si>
  <si>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</si>
  <si>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</si>
  <si>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</si>
  <si>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</si>
  <si>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</si>
  <si>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</si>
  <si>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</si>
  <si>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</si>
  <si>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</si>
  <si>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</si>
  <si>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</si>
  <si>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</si>
  <si>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</si>
  <si>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</si>
  <si>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</si>
  <si>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</si>
  <si>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</si>
  <si>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</si>
  <si>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</si>
  <si>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</si>
  <si>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</si>
  <si>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</si>
  <si>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</si>
  <si>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</si>
  <si>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</si>
  <si>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</si>
  <si>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</si>
  <si>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</si>
  <si>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</si>
  <si>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</si>
  <si>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</si>
  <si>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</si>
  <si>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</si>
  <si>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</si>
  <si>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</si>
  <si>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</si>
  <si>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</si>
  <si>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</si>
  <si>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</si>
  <si>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</si>
  <si>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</si>
  <si>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</si>
  <si>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</si>
  <si>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</si>
  <si>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</si>
  <si>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</si>
  <si>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</si>
  <si>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</si>
  <si>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</si>
  <si>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</si>
  <si>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</si>
  <si>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</si>
  <si>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</si>
  <si>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</si>
  <si>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</si>
  <si>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</si>
  <si>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</si>
  <si>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</si>
  <si>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</si>
  <si>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</si>
  <si>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</si>
  <si>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</si>
  <si>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</si>
  <si>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</si>
  <si>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</si>
  <si>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</si>
  <si>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</si>
  <si>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</si>
  <si>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</si>
  <si>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</si>
  <si>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</si>
  <si>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</si>
  <si>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</si>
  <si>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</si>
  <si>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</si>
  <si>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</si>
  <si>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</si>
  <si>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</si>
  <si>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</si>
  <si>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</si>
  <si>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</si>
  <si>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</si>
  <si>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</si>
  <si>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</si>
  <si>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</si>
  <si>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</si>
  <si>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</si>
  <si>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</si>
  <si>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</si>
  <si>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</si>
  <si>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</si>
  <si>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</si>
  <si>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</si>
  <si>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</si>
  <si>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</si>
  <si>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</si>
  <si>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</si>
  <si>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</si>
  <si>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</si>
  <si>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</si>
  <si>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</si>
  <si>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</si>
  <si>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</si>
  <si>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</si>
  <si>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</si>
  <si>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</si>
  <si>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</si>
  <si>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</si>
  <si>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</si>
  <si>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</si>
  <si>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</si>
  <si>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</si>
  <si>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</si>
  <si>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</si>
  <si>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</si>
  <si>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</si>
  <si>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</si>
  <si>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</si>
  <si>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</si>
  <si>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</si>
  <si>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</si>
  <si>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</si>
  <si>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</si>
  <si>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</si>
  <si>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</si>
  <si>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</si>
  <si>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</si>
  <si>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</si>
  <si>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</si>
  <si>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</si>
  <si>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</si>
  <si>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</si>
  <si>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</si>
  <si>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</si>
  <si>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</si>
  <si>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</si>
  <si>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</si>
  <si>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</si>
  <si>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</si>
  <si>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</si>
  <si>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</si>
  <si>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</si>
  <si>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</si>
  <si>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</si>
  <si>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</si>
  <si>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</si>
  <si>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</si>
  <si>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</si>
  <si>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</si>
  <si>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</si>
  <si>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</si>
  <si>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</si>
  <si>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</si>
  <si>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</si>
  <si>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</si>
  <si>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</si>
  <si>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</si>
  <si>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</si>
  <si>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</si>
  <si>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</si>
  <si>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</si>
  <si>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</si>
  <si>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</si>
  <si>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</si>
  <si>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</si>
  <si>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</si>
  <si>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</si>
  <si>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</si>
  <si>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</si>
  <si>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</si>
  <si>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</si>
  <si>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Erstatninger</t>
  </si>
  <si>
    <t>Ingen anlægsprojekter</t>
  </si>
  <si>
    <t>Ingen tilknyttet virksomhed under hovedvirksomheden</t>
  </si>
  <si>
    <t>Byggemodninger og nye tilslutninger</t>
  </si>
  <si>
    <t>Flytnimg af forsyningsledninger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</si>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</sst>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8" fillId="8" borderId="2" xfId="0" applyFont="1" applyFill="1" applyBorder="1" applyAlignment="1" applyProtection="1">
      <alignment horizontal="left" vertical="top" wrapText="1"/>
    </xf>
    <xf numFmtId="0" fontId="8" fillId="8" borderId="2" xfId="0" quotePrefix="1" applyFont="1" applyFill="1" applyBorder="1" applyAlignment="1" applyProtection="1">
      <alignment vertical="top" wrapText="1"/>
    </xf>
    <xf numFmtId="166" fontId="7" fillId="3" borderId="1" xfId="0" applyNumberFormat="1" applyFont="1" applyFill="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3" t="s">
        <v>232</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104" t="s">
        <v>134</v>
      </c>
      <c r="E13" s="105"/>
      <c r="F13" s="105"/>
      <c r="G13" s="106"/>
      <c r="H13" s="1"/>
      <c r="I13" s="1"/>
    </row>
    <row r="14" spans="1:9" x14ac:dyDescent="0.25">
      <c r="A14" s="1"/>
      <c r="B14" s="1"/>
      <c r="C14" s="6" t="s">
        <v>16</v>
      </c>
      <c r="D14" s="104" t="s">
        <v>235</v>
      </c>
      <c r="E14" s="105"/>
      <c r="F14" s="105"/>
      <c r="G14" s="106"/>
      <c r="H14" s="1"/>
      <c r="I14" s="1"/>
    </row>
    <row r="15" spans="1:9" x14ac:dyDescent="0.25">
      <c r="A15" s="1"/>
      <c r="B15" s="1"/>
      <c r="C15" s="6" t="s">
        <v>34</v>
      </c>
      <c r="D15" s="104" t="s">
        <v>135</v>
      </c>
      <c r="E15" s="105"/>
      <c r="F15" s="105"/>
      <c r="G15" s="106"/>
      <c r="H15" s="1"/>
      <c r="I15" s="1"/>
    </row>
    <row r="16" spans="1:9" x14ac:dyDescent="0.25">
      <c r="A16" s="1"/>
      <c r="B16" s="1"/>
      <c r="C16" s="6" t="s">
        <v>35</v>
      </c>
      <c r="D16" s="104" t="s">
        <v>191</v>
      </c>
      <c r="E16" s="105"/>
      <c r="F16" s="105"/>
      <c r="G16" s="106"/>
      <c r="H16" s="1"/>
      <c r="I16" s="1"/>
    </row>
    <row r="17" spans="1:9" x14ac:dyDescent="0.25">
      <c r="A17" s="1"/>
      <c r="B17" s="1"/>
      <c r="C17" s="6" t="s">
        <v>109</v>
      </c>
      <c r="D17" s="104" t="s">
        <v>192</v>
      </c>
      <c r="E17" s="105"/>
      <c r="F17" s="105"/>
      <c r="G17" s="106"/>
      <c r="H17" s="1"/>
      <c r="I17" s="1"/>
    </row>
    <row r="18" spans="1:9" x14ac:dyDescent="0.25">
      <c r="A18" s="1"/>
      <c r="B18" s="1"/>
      <c r="C18" s="6" t="s">
        <v>94</v>
      </c>
      <c r="D18" s="107" t="s">
        <v>83</v>
      </c>
      <c r="E18" s="108"/>
      <c r="F18" s="108"/>
      <c r="G18" s="109"/>
      <c r="H18" s="1"/>
      <c r="I18" s="1"/>
    </row>
    <row r="19" spans="1:9" x14ac:dyDescent="0.25">
      <c r="A19" s="1"/>
      <c r="B19" s="1"/>
      <c r="C19" s="6" t="s">
        <v>95</v>
      </c>
      <c r="D19" s="107" t="s">
        <v>84</v>
      </c>
      <c r="E19" s="108"/>
      <c r="F19" s="108"/>
      <c r="G19" s="109"/>
      <c r="H19" s="1"/>
      <c r="I19" s="1"/>
    </row>
    <row r="20" spans="1:9" x14ac:dyDescent="0.25">
      <c r="A20" s="1"/>
      <c r="B20" s="1"/>
      <c r="C20" s="6" t="s">
        <v>7</v>
      </c>
      <c r="D20" s="107" t="s">
        <v>10</v>
      </c>
      <c r="E20" s="108"/>
      <c r="F20" s="108"/>
      <c r="G20" s="109"/>
      <c r="H20" s="1"/>
      <c r="I20" s="1"/>
    </row>
    <row r="21" spans="1:9" x14ac:dyDescent="0.25">
      <c r="A21" s="1"/>
      <c r="B21" s="1"/>
      <c r="C21" s="6" t="s">
        <v>96</v>
      </c>
      <c r="D21" s="113" t="s">
        <v>12</v>
      </c>
      <c r="E21" s="114"/>
      <c r="F21" s="114"/>
      <c r="G21" s="115"/>
      <c r="H21" s="1"/>
      <c r="I21" s="1"/>
    </row>
    <row r="22" spans="1:9" x14ac:dyDescent="0.25">
      <c r="A22" s="1"/>
      <c r="B22" s="1"/>
      <c r="C22" s="6" t="s">
        <v>71</v>
      </c>
      <c r="D22" s="99" t="s">
        <v>193</v>
      </c>
      <c r="E22" s="100"/>
      <c r="F22" s="100"/>
      <c r="G22" s="101"/>
      <c r="H22" s="1"/>
      <c r="I22" s="1"/>
    </row>
    <row r="23" spans="1:9" x14ac:dyDescent="0.25">
      <c r="A23" s="1"/>
      <c r="B23" s="1"/>
      <c r="C23" s="6" t="s">
        <v>8</v>
      </c>
      <c r="D23" s="99" t="s">
        <v>251</v>
      </c>
      <c r="E23" s="100"/>
      <c r="F23" s="100"/>
      <c r="G23" s="101"/>
      <c r="H23" s="1"/>
      <c r="I23" s="1"/>
    </row>
    <row r="24" spans="1:9" x14ac:dyDescent="0.25">
      <c r="A24" s="1"/>
      <c r="B24" s="1"/>
      <c r="C24" s="6" t="s">
        <v>9</v>
      </c>
      <c r="D24" s="99" t="s">
        <v>194</v>
      </c>
      <c r="E24" s="100"/>
      <c r="F24" s="100"/>
      <c r="G24" s="101"/>
      <c r="H24" s="1"/>
      <c r="I24" s="1"/>
    </row>
    <row r="25" spans="1:9" x14ac:dyDescent="0.25">
      <c r="A25" s="1"/>
      <c r="B25" s="1"/>
      <c r="C25" s="6" t="s">
        <v>264</v>
      </c>
      <c r="D25" s="99" t="s">
        <v>246</v>
      </c>
      <c r="E25" s="100"/>
      <c r="F25" s="100"/>
      <c r="G25" s="101"/>
      <c r="H25" s="1"/>
      <c r="I25" s="1"/>
    </row>
    <row r="26" spans="1:9" x14ac:dyDescent="0.25">
      <c r="A26" s="1"/>
      <c r="B26" s="1"/>
      <c r="C26" s="6" t="s">
        <v>265</v>
      </c>
      <c r="D26" s="99" t="s">
        <v>72</v>
      </c>
      <c r="E26" s="100"/>
      <c r="F26" s="100"/>
      <c r="G26" s="101"/>
      <c r="H26" s="1"/>
      <c r="I26" s="1"/>
    </row>
    <row r="27" spans="1:9" x14ac:dyDescent="0.25">
      <c r="A27" s="1"/>
      <c r="B27" s="1"/>
      <c r="C27" s="6" t="s">
        <v>266</v>
      </c>
      <c r="D27" s="99" t="s">
        <v>73</v>
      </c>
      <c r="E27" s="100"/>
      <c r="F27" s="100"/>
      <c r="G27" s="101"/>
      <c r="H27" s="1"/>
      <c r="I27" s="1"/>
    </row>
    <row r="28" spans="1:9" x14ac:dyDescent="0.25">
      <c r="A28" s="1"/>
      <c r="B28" s="1"/>
      <c r="C28" s="6" t="s">
        <v>15</v>
      </c>
      <c r="D28" s="99" t="s">
        <v>74</v>
      </c>
      <c r="E28" s="100"/>
      <c r="F28" s="100"/>
      <c r="G28" s="101"/>
      <c r="H28" s="1"/>
      <c r="I28" s="1"/>
    </row>
    <row r="29" spans="1:9" x14ac:dyDescent="0.25">
      <c r="A29" s="1"/>
      <c r="B29" s="1"/>
      <c r="C29" s="6" t="s">
        <v>37</v>
      </c>
      <c r="D29" s="99" t="s">
        <v>112</v>
      </c>
      <c r="E29" s="100"/>
      <c r="F29" s="100"/>
      <c r="G29" s="101"/>
      <c r="H29" s="1"/>
      <c r="I29" s="1"/>
    </row>
    <row r="30" spans="1:9" x14ac:dyDescent="0.25">
      <c r="A30" s="1"/>
      <c r="B30" s="1"/>
      <c r="C30" s="6" t="s">
        <v>38</v>
      </c>
      <c r="D30" s="99" t="s">
        <v>36</v>
      </c>
      <c r="E30" s="100"/>
      <c r="F30" s="100"/>
      <c r="G30" s="101"/>
      <c r="H30" s="1"/>
      <c r="I30" s="1"/>
    </row>
    <row r="31" spans="1:9" x14ac:dyDescent="0.25">
      <c r="A31" s="1"/>
      <c r="B31" s="1"/>
      <c r="C31" s="6" t="s">
        <v>267</v>
      </c>
      <c r="D31" s="110" t="s">
        <v>92</v>
      </c>
      <c r="E31" s="111"/>
      <c r="F31" s="111"/>
      <c r="G31" s="11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CQvhY/I00hHfyEFT6whB5GhroLboHfgpBR4GCC0IEA0B/j9KfF5iz6YkkQcrNghN4H39VxzHW8Ju3k/nXwgCA==" saltValue="75Gyx6CWk/4V3OVdRefKLg=="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97</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49" t="s">
        <v>210</v>
      </c>
      <c r="C8" s="150"/>
      <c r="D8" s="152"/>
      <c r="E8" s="1"/>
      <c r="F8" s="1"/>
    </row>
    <row r="9" spans="1:6" ht="15" customHeight="1" x14ac:dyDescent="0.25">
      <c r="A9" s="1"/>
      <c r="B9" s="35" t="s">
        <v>32</v>
      </c>
      <c r="C9" s="11" t="s">
        <v>247</v>
      </c>
      <c r="D9" s="11"/>
      <c r="E9" s="1"/>
      <c r="F9" s="1"/>
    </row>
    <row r="10" spans="1:6" ht="15" customHeight="1" x14ac:dyDescent="0.25">
      <c r="A10" s="1"/>
      <c r="B10" s="82" t="s">
        <v>278</v>
      </c>
      <c r="C10" s="9">
        <v>682801</v>
      </c>
      <c r="D10" s="14" t="s">
        <v>3</v>
      </c>
      <c r="E10" s="1"/>
      <c r="F10" s="1"/>
    </row>
    <row r="11" spans="1:6" ht="15" customHeight="1" x14ac:dyDescent="0.25">
      <c r="A11" s="1"/>
      <c r="B11" s="82" t="s">
        <v>279</v>
      </c>
      <c r="C11" s="9">
        <v>105184</v>
      </c>
      <c r="D11" s="14" t="s">
        <v>3</v>
      </c>
      <c r="E11" s="1"/>
      <c r="F11" s="1"/>
    </row>
    <row r="12" spans="1:6" x14ac:dyDescent="0.25">
      <c r="A12" s="1"/>
      <c r="B12" s="82" t="s">
        <v>280</v>
      </c>
      <c r="C12" s="9">
        <v>59360</v>
      </c>
      <c r="D12" s="14" t="s">
        <v>3</v>
      </c>
      <c r="E12" s="1"/>
      <c r="F12" s="1"/>
    </row>
    <row r="13" spans="1:6" x14ac:dyDescent="0.25">
      <c r="A13" s="1"/>
      <c r="B13" s="82" t="s">
        <v>281</v>
      </c>
      <c r="C13" s="9">
        <v>135365</v>
      </c>
      <c r="D13" s="14" t="s">
        <v>3</v>
      </c>
      <c r="E13" s="1"/>
      <c r="F13" s="1"/>
    </row>
    <row r="14" spans="1:6" x14ac:dyDescent="0.25">
      <c r="A14" s="1"/>
      <c r="B14" s="82" t="s">
        <v>282</v>
      </c>
      <c r="C14" s="9">
        <v>6081</v>
      </c>
      <c r="D14" s="14" t="s">
        <v>3</v>
      </c>
      <c r="E14" s="1"/>
      <c r="F14" s="1"/>
    </row>
    <row r="15" spans="1:6" x14ac:dyDescent="0.25">
      <c r="A15" s="1"/>
      <c r="B15" s="32" t="s">
        <v>211</v>
      </c>
      <c r="C15" s="12">
        <f>SUM(C10:C14)</f>
        <v>988791</v>
      </c>
      <c r="D15" s="13" t="s">
        <v>3</v>
      </c>
      <c r="E15" s="1"/>
      <c r="F15" s="1"/>
    </row>
    <row r="16" spans="1:6" x14ac:dyDescent="0.25">
      <c r="A16" s="1"/>
      <c r="B16" s="32" t="s">
        <v>212</v>
      </c>
      <c r="C16" s="12">
        <f>C15*(1+'Fane 15. Nøgletal'!C15)^2</f>
        <v>1060446.07336176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49" t="s">
        <v>105</v>
      </c>
      <c r="C19" s="150"/>
      <c r="D19" s="152"/>
      <c r="E19" s="1"/>
      <c r="F19" s="1"/>
    </row>
    <row r="20" spans="1:6" x14ac:dyDescent="0.25">
      <c r="A20" s="1"/>
      <c r="B20" s="82" t="s">
        <v>268</v>
      </c>
      <c r="C20" s="9">
        <v>0</v>
      </c>
      <c r="D20" s="14" t="s">
        <v>3</v>
      </c>
      <c r="E20" s="1"/>
      <c r="F20" s="1"/>
    </row>
    <row r="21" spans="1:6" x14ac:dyDescent="0.25">
      <c r="A21" s="1"/>
      <c r="B21" s="82" t="s">
        <v>269</v>
      </c>
      <c r="C21" s="9">
        <v>0</v>
      </c>
      <c r="D21" s="14" t="s">
        <v>3</v>
      </c>
      <c r="E21" s="1"/>
      <c r="F21" s="1"/>
    </row>
    <row r="22" spans="1:6" x14ac:dyDescent="0.25">
      <c r="A22" s="1"/>
      <c r="B22" s="82" t="s">
        <v>270</v>
      </c>
      <c r="C22" s="9">
        <v>0</v>
      </c>
      <c r="D22" s="14" t="s">
        <v>3</v>
      </c>
      <c r="E22" s="1"/>
      <c r="F22" s="1"/>
    </row>
    <row r="23" spans="1:6" x14ac:dyDescent="0.25">
      <c r="A23" s="1"/>
      <c r="B23" s="28" t="s">
        <v>271</v>
      </c>
      <c r="C23" s="9">
        <v>0</v>
      </c>
      <c r="D23" s="14" t="s">
        <v>3</v>
      </c>
      <c r="E23" s="1"/>
      <c r="F23" s="1"/>
    </row>
    <row r="24" spans="1:6" x14ac:dyDescent="0.25">
      <c r="A24" s="1"/>
      <c r="B24" s="149"/>
      <c r="C24" s="150"/>
      <c r="D24" s="152"/>
      <c r="E24" s="1"/>
      <c r="F24" s="1"/>
    </row>
    <row r="25" spans="1:6" x14ac:dyDescent="0.25">
      <c r="A25" s="1"/>
      <c r="B25" s="1"/>
      <c r="C25" s="1"/>
      <c r="D25" s="1"/>
      <c r="E25" s="1"/>
      <c r="F25" s="1"/>
    </row>
    <row r="26" spans="1:6" x14ac:dyDescent="0.25">
      <c r="A26" s="1"/>
      <c r="B26" s="1"/>
      <c r="C26" s="1"/>
      <c r="D26" s="1"/>
      <c r="E26" s="1"/>
      <c r="F26" s="1"/>
    </row>
    <row r="27" spans="1:6" x14ac:dyDescent="0.25">
      <c r="A27" s="1"/>
      <c r="B27" s="149" t="s">
        <v>86</v>
      </c>
      <c r="C27" s="150"/>
      <c r="D27" s="152"/>
      <c r="E27" s="1"/>
      <c r="F27" s="1"/>
    </row>
    <row r="28" spans="1:6" x14ac:dyDescent="0.25">
      <c r="A28" s="1"/>
      <c r="B28" s="82" t="s">
        <v>268</v>
      </c>
      <c r="C28" s="9">
        <v>0</v>
      </c>
      <c r="D28" s="14" t="s">
        <v>3</v>
      </c>
      <c r="E28" s="1"/>
      <c r="F28" s="1"/>
    </row>
    <row r="29" spans="1:6" x14ac:dyDescent="0.25">
      <c r="A29" s="1"/>
      <c r="B29" s="82" t="s">
        <v>269</v>
      </c>
      <c r="C29" s="9">
        <v>0</v>
      </c>
      <c r="D29" s="14" t="s">
        <v>3</v>
      </c>
      <c r="E29" s="1"/>
      <c r="F29" s="1"/>
    </row>
    <row r="30" spans="1:6" x14ac:dyDescent="0.25">
      <c r="A30" s="1"/>
      <c r="B30" s="82" t="s">
        <v>270</v>
      </c>
      <c r="C30" s="9">
        <v>0</v>
      </c>
      <c r="D30" s="14" t="s">
        <v>3</v>
      </c>
      <c r="E30" s="1"/>
      <c r="F30" s="1"/>
    </row>
    <row r="31" spans="1:6" x14ac:dyDescent="0.25">
      <c r="A31" s="1"/>
      <c r="B31" s="28" t="s">
        <v>271</v>
      </c>
      <c r="C31" s="9">
        <v>0</v>
      </c>
      <c r="D31" s="14" t="s">
        <v>3</v>
      </c>
      <c r="E31" s="1"/>
      <c r="F31" s="1"/>
    </row>
    <row r="32" spans="1:6" x14ac:dyDescent="0.25">
      <c r="A32" s="1"/>
      <c r="B32" s="149"/>
      <c r="C32" s="150"/>
      <c r="D32" s="152"/>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jRHx6qXb0ydDwwhL5T8xXr+qr5GK0cGDr6g6Dq/P7veWi5gmfW2qyIOqkhb5EyJLNKUsIh5URsGZhbNUdIHNLQ==" saltValue="cRoGS2V8k+zXqDS6Wf4y5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213</v>
      </c>
      <c r="C3" s="121"/>
      <c r="D3" s="121"/>
      <c r="E3" s="121"/>
      <c r="F3" s="121"/>
      <c r="G3" s="1"/>
    </row>
    <row r="4" spans="1:7" ht="15" customHeight="1" x14ac:dyDescent="0.25">
      <c r="A4" s="1"/>
      <c r="B4" s="121"/>
      <c r="C4" s="121"/>
      <c r="D4" s="121"/>
      <c r="E4" s="121"/>
      <c r="F4" s="121"/>
      <c r="G4" s="1"/>
    </row>
    <row r="5" spans="1:7" ht="15" customHeight="1" x14ac:dyDescent="0.25">
      <c r="A5" s="1"/>
      <c r="B5" s="80"/>
      <c r="C5" s="80"/>
      <c r="D5" s="80"/>
      <c r="E5" s="80"/>
      <c r="F5" s="80"/>
      <c r="G5" s="1"/>
    </row>
    <row r="6" spans="1:7" ht="15" customHeight="1" x14ac:dyDescent="0.25">
      <c r="A6" s="1"/>
      <c r="B6" s="80"/>
      <c r="C6" s="80"/>
      <c r="D6" s="80"/>
      <c r="E6" s="80"/>
      <c r="F6" s="80"/>
      <c r="G6" s="1"/>
    </row>
    <row r="7" spans="1:7" ht="13.5" customHeight="1" x14ac:dyDescent="0.25">
      <c r="A7" s="1"/>
      <c r="B7" s="1"/>
      <c r="C7" s="1"/>
      <c r="D7" s="1"/>
      <c r="E7" s="1"/>
      <c r="F7" s="1"/>
      <c r="G7" s="1"/>
    </row>
    <row r="8" spans="1:7" x14ac:dyDescent="0.25">
      <c r="A8" s="1"/>
      <c r="B8" s="149" t="s">
        <v>183</v>
      </c>
      <c r="C8" s="150"/>
      <c r="D8" s="150"/>
      <c r="E8" s="150"/>
      <c r="F8" s="152"/>
      <c r="G8" s="1"/>
    </row>
    <row r="9" spans="1:7" x14ac:dyDescent="0.25">
      <c r="A9" s="1"/>
      <c r="B9" s="143" t="s">
        <v>184</v>
      </c>
      <c r="C9" s="144"/>
      <c r="D9" s="145"/>
      <c r="E9" s="9">
        <v>2366410.8464628607</v>
      </c>
      <c r="F9" s="14" t="s">
        <v>3</v>
      </c>
      <c r="G9" s="1"/>
    </row>
    <row r="10" spans="1:7" x14ac:dyDescent="0.25">
      <c r="A10" s="1"/>
      <c r="B10" s="143" t="s">
        <v>185</v>
      </c>
      <c r="C10" s="144"/>
      <c r="D10" s="145"/>
      <c r="E10" s="9">
        <v>2093707</v>
      </c>
      <c r="F10" s="14" t="s">
        <v>3</v>
      </c>
      <c r="G10" s="1"/>
    </row>
    <row r="11" spans="1:7" x14ac:dyDescent="0.25">
      <c r="A11" s="1"/>
      <c r="B11" s="143" t="s">
        <v>214</v>
      </c>
      <c r="C11" s="144"/>
      <c r="D11" s="145"/>
      <c r="E11" s="9">
        <v>-5428300.183724761</v>
      </c>
      <c r="F11" s="14" t="s">
        <v>3</v>
      </c>
      <c r="G11" s="1"/>
    </row>
    <row r="12" spans="1:7" x14ac:dyDescent="0.25">
      <c r="A12" s="1"/>
      <c r="B12" s="143" t="s">
        <v>272</v>
      </c>
      <c r="C12" s="144"/>
      <c r="D12" s="145"/>
      <c r="E12" s="9">
        <v>-257536.25298568606</v>
      </c>
      <c r="F12" s="14" t="s">
        <v>3</v>
      </c>
      <c r="G12" s="1"/>
    </row>
    <row r="13" spans="1:7" x14ac:dyDescent="0.25">
      <c r="A13" s="1"/>
      <c r="B13" s="32"/>
      <c r="C13" s="33"/>
      <c r="D13" s="33"/>
      <c r="E13" s="33"/>
      <c r="F13" s="20"/>
      <c r="G13" s="1"/>
    </row>
    <row r="14" spans="1:7" ht="75.75" customHeight="1" x14ac:dyDescent="0.25">
      <c r="A14" s="1"/>
      <c r="B14" s="131" t="s">
        <v>273</v>
      </c>
      <c r="C14" s="132"/>
      <c r="D14" s="132"/>
      <c r="E14" s="132"/>
      <c r="F14" s="133"/>
      <c r="G14" s="1"/>
    </row>
    <row r="15" spans="1:7" ht="24" customHeight="1" x14ac:dyDescent="0.25">
      <c r="A15" s="1"/>
      <c r="B15" s="1"/>
      <c r="C15" s="1"/>
      <c r="D15" s="1"/>
      <c r="E15" s="1"/>
      <c r="F15" s="1"/>
      <c r="G15" s="1"/>
    </row>
    <row r="16" spans="1:7" ht="28.5" customHeight="1" x14ac:dyDescent="0.25">
      <c r="A16" s="1"/>
      <c r="B16" s="149" t="s">
        <v>186</v>
      </c>
      <c r="C16" s="150"/>
      <c r="D16" s="150"/>
      <c r="E16" s="150"/>
      <c r="F16" s="152"/>
      <c r="G16" s="1"/>
    </row>
    <row r="17" spans="1:7" x14ac:dyDescent="0.25">
      <c r="A17" s="1"/>
      <c r="B17" s="143" t="s">
        <v>274</v>
      </c>
      <c r="C17" s="144"/>
      <c r="D17" s="145"/>
      <c r="E17" s="9">
        <v>-128768.10555487126</v>
      </c>
      <c r="F17" s="14" t="s">
        <v>3</v>
      </c>
      <c r="G17" s="1"/>
    </row>
    <row r="18" spans="1:7" x14ac:dyDescent="0.25">
      <c r="A18" s="1"/>
      <c r="B18" s="143" t="s">
        <v>187</v>
      </c>
      <c r="C18" s="144"/>
      <c r="D18" s="145"/>
      <c r="E18" s="9">
        <v>-128768.10555487126</v>
      </c>
      <c r="F18" s="14" t="s">
        <v>3</v>
      </c>
      <c r="G18" s="1"/>
    </row>
    <row r="19" spans="1:7" x14ac:dyDescent="0.25">
      <c r="A19" s="1"/>
      <c r="B19" s="32"/>
      <c r="C19" s="33"/>
      <c r="D19" s="33"/>
      <c r="E19" s="33"/>
      <c r="F19" s="20"/>
      <c r="G19" s="1"/>
    </row>
    <row r="20" spans="1:7" ht="31.5" customHeight="1" x14ac:dyDescent="0.25">
      <c r="A20" s="1"/>
      <c r="B20" s="131" t="s">
        <v>188</v>
      </c>
      <c r="C20" s="132"/>
      <c r="D20" s="132"/>
      <c r="E20" s="132"/>
      <c r="F20" s="133"/>
      <c r="G20" s="1"/>
    </row>
    <row r="21" spans="1:7" ht="26.25" customHeight="1" x14ac:dyDescent="0.25">
      <c r="A21" s="1"/>
      <c r="B21" s="1"/>
      <c r="C21" s="1"/>
      <c r="D21" s="1"/>
      <c r="E21" s="1"/>
      <c r="F21" s="1"/>
      <c r="G21" s="1"/>
    </row>
    <row r="22" spans="1:7" ht="28.5" customHeight="1" x14ac:dyDescent="0.25">
      <c r="A22" s="1"/>
      <c r="B22" s="86" t="s">
        <v>215</v>
      </c>
      <c r="C22" s="87"/>
      <c r="D22" s="87"/>
      <c r="E22" s="87"/>
      <c r="F22" s="88"/>
      <c r="G22" s="1"/>
    </row>
    <row r="23" spans="1:7" x14ac:dyDescent="0.25">
      <c r="A23" s="1"/>
      <c r="B23" s="83" t="s">
        <v>216</v>
      </c>
      <c r="C23" s="84"/>
      <c r="D23" s="85"/>
      <c r="E23" s="9">
        <v>86502984.363088459</v>
      </c>
      <c r="F23" s="14" t="s">
        <v>3</v>
      </c>
      <c r="G23" s="1"/>
    </row>
    <row r="24" spans="1:7" x14ac:dyDescent="0.25">
      <c r="A24" s="1"/>
      <c r="B24" s="83" t="s">
        <v>217</v>
      </c>
      <c r="C24" s="84"/>
      <c r="D24" s="85"/>
      <c r="E24" s="9">
        <v>93076538</v>
      </c>
      <c r="F24" s="14" t="s">
        <v>3</v>
      </c>
      <c r="G24" s="1"/>
    </row>
    <row r="25" spans="1:7" x14ac:dyDescent="0.25">
      <c r="A25" s="1"/>
      <c r="B25" s="83" t="s">
        <v>33</v>
      </c>
      <c r="C25" s="84"/>
      <c r="D25" s="85"/>
      <c r="E25" s="9">
        <v>0</v>
      </c>
      <c r="F25" s="14" t="s">
        <v>3</v>
      </c>
      <c r="G25" s="1"/>
    </row>
    <row r="26" spans="1:7" x14ac:dyDescent="0.25">
      <c r="A26" s="1"/>
      <c r="B26" s="76" t="s">
        <v>218</v>
      </c>
      <c r="C26" s="77"/>
      <c r="D26" s="78"/>
      <c r="E26" s="59">
        <f>E23-(E24-E25)</f>
        <v>-6573553.6369115412</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49" t="s">
        <v>275</v>
      </c>
      <c r="C29" s="150"/>
      <c r="D29" s="150"/>
      <c r="E29" s="150"/>
      <c r="F29" s="152"/>
      <c r="G29" s="1"/>
    </row>
    <row r="30" spans="1:7" x14ac:dyDescent="0.25">
      <c r="A30" s="1"/>
      <c r="B30" s="140" t="s">
        <v>276</v>
      </c>
      <c r="C30" s="141"/>
      <c r="D30" s="142"/>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-128768.10555487126</v>
      </c>
      <c r="F30" s="17" t="s">
        <v>3</v>
      </c>
      <c r="G30" s="1"/>
    </row>
    <row r="31" spans="1:7" x14ac:dyDescent="0.25">
      <c r="A31" s="1"/>
      <c r="B31" s="149"/>
      <c r="C31" s="150"/>
      <c r="D31" s="150"/>
      <c r="E31" s="150"/>
      <c r="F31" s="152"/>
      <c r="G31" s="1"/>
    </row>
    <row r="32" spans="1:7" x14ac:dyDescent="0.25">
      <c r="A32" s="1"/>
      <c r="B32" s="1"/>
      <c r="C32" s="1"/>
      <c r="D32" s="1"/>
      <c r="E32" s="1"/>
      <c r="F32" s="1"/>
      <c r="G32" s="1"/>
    </row>
    <row r="33" spans="1:7" ht="28.5" customHeight="1" x14ac:dyDescent="0.25">
      <c r="A33" s="1"/>
      <c r="B33" s="149" t="s">
        <v>277</v>
      </c>
      <c r="C33" s="150"/>
      <c r="D33" s="150"/>
      <c r="E33" s="150"/>
      <c r="F33" s="152"/>
      <c r="G33" s="1"/>
    </row>
    <row r="34" spans="1:7" x14ac:dyDescent="0.25">
      <c r="A34" s="1"/>
      <c r="B34" s="163" t="s">
        <v>131</v>
      </c>
      <c r="C34" s="164"/>
      <c r="D34" s="165"/>
      <c r="E34" s="9">
        <f>IF(AND(SUM(E9:E11)&gt;0,SUM(E9:E11,E26)&gt;0),0,IF(AND(SUM(E9:E11)&gt;0,SUM(E9:E11,E26)&lt;0),SUM(E9:E11,E26),IF(AND(SUM(E9:E11)&lt;0,E26&lt;0),E26,0)))</f>
        <v>-6573553.6369115412</v>
      </c>
      <c r="F34" s="14" t="s">
        <v>3</v>
      </c>
      <c r="G34" s="1"/>
    </row>
    <row r="35" spans="1:7" x14ac:dyDescent="0.25">
      <c r="A35" s="1"/>
      <c r="B35" s="163" t="s">
        <v>89</v>
      </c>
      <c r="C35" s="164"/>
      <c r="D35" s="165"/>
      <c r="E35" s="9">
        <v>4</v>
      </c>
      <c r="F35" s="14" t="s">
        <v>20</v>
      </c>
      <c r="G35" s="1"/>
    </row>
    <row r="36" spans="1:7" x14ac:dyDescent="0.25">
      <c r="A36" s="1"/>
      <c r="B36" s="166" t="s">
        <v>133</v>
      </c>
      <c r="C36" s="166"/>
      <c r="D36" s="166"/>
      <c r="E36" s="10">
        <f>E34/E35</f>
        <v>-1643388.4092278853</v>
      </c>
      <c r="F36" s="17" t="s">
        <v>3</v>
      </c>
      <c r="G36" s="1"/>
    </row>
    <row r="37" spans="1:7" x14ac:dyDescent="0.25">
      <c r="A37" s="1"/>
      <c r="B37" s="167"/>
      <c r="C37" s="168"/>
      <c r="D37" s="168"/>
      <c r="E37" s="168"/>
      <c r="F37" s="169"/>
      <c r="G37" s="1"/>
    </row>
    <row r="38" spans="1:7" x14ac:dyDescent="0.25">
      <c r="A38" s="1"/>
      <c r="B38" s="1"/>
      <c r="C38" s="1"/>
      <c r="D38" s="1"/>
      <c r="E38" s="1"/>
      <c r="F38" s="1"/>
      <c r="G38" s="1"/>
    </row>
    <row r="39" spans="1:7" x14ac:dyDescent="0.25">
      <c r="A39" s="1"/>
      <c r="B39" s="1"/>
      <c r="C39" s="1"/>
      <c r="D39" s="1"/>
      <c r="E39" s="1"/>
      <c r="F39" s="1"/>
      <c r="G39" s="1"/>
    </row>
    <row r="40" spans="1:7" x14ac:dyDescent="0.25">
      <c r="B40" s="43"/>
      <c r="C40" s="43"/>
      <c r="D40" s="43"/>
      <c r="E40" s="43"/>
      <c r="F40" s="43"/>
    </row>
    <row r="41" spans="1:7" x14ac:dyDescent="0.25">
      <c r="A41" s="43"/>
      <c r="B41" s="43"/>
      <c r="C41" s="43"/>
      <c r="D41" s="43"/>
      <c r="E41" s="43"/>
      <c r="F41" s="43"/>
      <c r="G41" s="43"/>
    </row>
  </sheetData>
  <sheetProtection algorithmName="SHA-512" hashValue="g3f2itBtSaJxC9GzNJhCjBm7WUmeTf6rtdRVfT5gvFjzLQR1egLcQvZHQvt2aQVWgkfM8cMQOE4e89DeLrClkg==" saltValue="5dvg4aBfRu///fMfE3tD/Q=="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ignoredErrors>
    <ignoredError sqref="E3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5" customWidth="1"/>
    <col min="2" max="2" width="22.5703125" style="55" customWidth="1"/>
    <col min="3" max="3" width="8.28515625" style="55" customWidth="1"/>
    <col min="4" max="6" width="10.7109375" style="55" customWidth="1"/>
    <col min="7" max="7" width="11.140625" style="55" customWidth="1"/>
    <col min="8" max="8" width="3.28515625" style="55" customWidth="1"/>
    <col min="9" max="9" width="4.85546875" style="55" customWidth="1"/>
    <col min="10" max="16384" width="9.140625" style="5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252</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49" t="s">
        <v>253</v>
      </c>
      <c r="C8" s="150"/>
      <c r="D8" s="150"/>
      <c r="E8" s="150"/>
      <c r="F8" s="150"/>
      <c r="G8" s="150"/>
      <c r="H8" s="152"/>
      <c r="I8" s="1"/>
    </row>
    <row r="9" spans="1:9" ht="15" customHeight="1" x14ac:dyDescent="0.25">
      <c r="A9" s="1"/>
      <c r="B9" s="134" t="s">
        <v>254</v>
      </c>
      <c r="C9" s="135"/>
      <c r="D9" s="135"/>
      <c r="E9" s="135"/>
      <c r="F9" s="135"/>
      <c r="G9" s="135"/>
      <c r="H9" s="136"/>
      <c r="I9" s="1"/>
    </row>
    <row r="10" spans="1:9" x14ac:dyDescent="0.25">
      <c r="A10" s="1"/>
      <c r="B10" s="170" t="s">
        <v>287</v>
      </c>
      <c r="C10" s="171"/>
      <c r="D10" s="171"/>
      <c r="E10" s="171"/>
      <c r="F10" s="172"/>
      <c r="G10" s="44">
        <v>0</v>
      </c>
      <c r="H10" s="9" t="s">
        <v>3</v>
      </c>
      <c r="I10" s="1"/>
    </row>
    <row r="11" spans="1:9" x14ac:dyDescent="0.25">
      <c r="A11" s="1"/>
      <c r="B11" s="170" t="s">
        <v>288</v>
      </c>
      <c r="C11" s="171"/>
      <c r="D11" s="171"/>
      <c r="E11" s="171"/>
      <c r="F11" s="172"/>
      <c r="G11" s="44">
        <v>0</v>
      </c>
      <c r="H11" s="9" t="s">
        <v>3</v>
      </c>
      <c r="I11" s="1"/>
    </row>
    <row r="12" spans="1:9" x14ac:dyDescent="0.25">
      <c r="A12" s="1"/>
      <c r="B12" s="170" t="s">
        <v>289</v>
      </c>
      <c r="C12" s="171"/>
      <c r="D12" s="171"/>
      <c r="E12" s="171"/>
      <c r="F12" s="172"/>
      <c r="G12" s="9">
        <v>0</v>
      </c>
      <c r="H12" s="9" t="s">
        <v>3</v>
      </c>
      <c r="I12" s="1"/>
    </row>
    <row r="13" spans="1:9" x14ac:dyDescent="0.25">
      <c r="A13" s="1"/>
      <c r="B13" s="170" t="s">
        <v>290</v>
      </c>
      <c r="C13" s="171"/>
      <c r="D13" s="171"/>
      <c r="E13" s="171"/>
      <c r="F13" s="172"/>
      <c r="G13" s="9">
        <v>0</v>
      </c>
      <c r="H13" s="9" t="s">
        <v>3</v>
      </c>
      <c r="I13" s="1"/>
    </row>
    <row r="14" spans="1:9" x14ac:dyDescent="0.25">
      <c r="A14" s="1"/>
      <c r="B14" s="170" t="s">
        <v>291</v>
      </c>
      <c r="C14" s="171"/>
      <c r="D14" s="171"/>
      <c r="E14" s="171"/>
      <c r="F14" s="172"/>
      <c r="G14" s="9">
        <v>0</v>
      </c>
      <c r="H14" s="9" t="s">
        <v>3</v>
      </c>
      <c r="I14" s="1"/>
    </row>
    <row r="15" spans="1:9" x14ac:dyDescent="0.25">
      <c r="A15" s="1"/>
      <c r="B15" s="170" t="s">
        <v>292</v>
      </c>
      <c r="C15" s="171"/>
      <c r="D15" s="171"/>
      <c r="E15" s="171"/>
      <c r="F15" s="172"/>
      <c r="G15" s="9">
        <v>0</v>
      </c>
      <c r="H15" s="9" t="s">
        <v>3</v>
      </c>
      <c r="I15" s="1"/>
    </row>
    <row r="16" spans="1:9" x14ac:dyDescent="0.25">
      <c r="A16" s="1"/>
      <c r="B16" s="170" t="s">
        <v>293</v>
      </c>
      <c r="C16" s="171"/>
      <c r="D16" s="171"/>
      <c r="E16" s="171"/>
      <c r="F16" s="172"/>
      <c r="G16" s="9">
        <v>0</v>
      </c>
      <c r="H16" s="9" t="s">
        <v>3</v>
      </c>
      <c r="I16" s="1"/>
    </row>
    <row r="17" spans="1:9" x14ac:dyDescent="0.25">
      <c r="A17" s="1"/>
      <c r="B17" s="170" t="s">
        <v>294</v>
      </c>
      <c r="C17" s="171"/>
      <c r="D17" s="171"/>
      <c r="E17" s="171"/>
      <c r="F17" s="172"/>
      <c r="G17" s="9">
        <v>0</v>
      </c>
      <c r="H17" s="9" t="s">
        <v>3</v>
      </c>
      <c r="I17" s="1"/>
    </row>
    <row r="18" spans="1:9" x14ac:dyDescent="0.25">
      <c r="A18" s="1"/>
      <c r="B18" s="149" t="s">
        <v>255</v>
      </c>
      <c r="C18" s="150"/>
      <c r="D18" s="150"/>
      <c r="E18" s="150"/>
      <c r="F18" s="15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fI/auD4rn9TjYoL/rEMOGVukElfHRnyZpYOJRDquxvgbY4ca3Q6If45YEaKSbHnUtOYzo/ekJ/IPhThVG/LVug==" saltValue="IAUejNf0JrgUKG8DgzzTs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256</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3" t="s">
        <v>219</v>
      </c>
      <c r="C9" s="173"/>
      <c r="D9" s="173"/>
      <c r="E9" s="173"/>
      <c r="F9" s="173"/>
      <c r="G9" s="1"/>
    </row>
    <row r="10" spans="1:7" x14ac:dyDescent="0.25">
      <c r="A10" s="1"/>
      <c r="B10" s="131" t="s">
        <v>87</v>
      </c>
      <c r="C10" s="132"/>
      <c r="D10" s="133"/>
      <c r="E10" s="7">
        <v>0</v>
      </c>
      <c r="F10" s="8" t="s">
        <v>3</v>
      </c>
      <c r="G10" s="1"/>
    </row>
    <row r="11" spans="1:7" x14ac:dyDescent="0.25">
      <c r="A11" s="1"/>
      <c r="B11" s="143" t="s">
        <v>220</v>
      </c>
      <c r="C11" s="144"/>
      <c r="D11" s="145"/>
      <c r="E11" s="7">
        <v>0</v>
      </c>
      <c r="F11" s="8" t="s">
        <v>3</v>
      </c>
      <c r="G11" s="1"/>
    </row>
    <row r="12" spans="1:7" x14ac:dyDescent="0.25">
      <c r="A12" s="1"/>
      <c r="B12" s="140" t="s">
        <v>88</v>
      </c>
      <c r="C12" s="141"/>
      <c r="D12" s="142"/>
      <c r="E12" s="10">
        <f>E11-E10</f>
        <v>0</v>
      </c>
      <c r="F12" s="11" t="s">
        <v>3</v>
      </c>
      <c r="G12" s="1"/>
    </row>
    <row r="13" spans="1:7" x14ac:dyDescent="0.25">
      <c r="A13" s="1"/>
      <c r="B13" s="173" t="s">
        <v>82</v>
      </c>
      <c r="C13" s="173"/>
      <c r="D13" s="173"/>
      <c r="E13" s="173"/>
      <c r="F13" s="173"/>
      <c r="G13" s="1"/>
    </row>
    <row r="14" spans="1:7" x14ac:dyDescent="0.25">
      <c r="A14" s="1"/>
      <c r="B14" s="143" t="s">
        <v>221</v>
      </c>
      <c r="C14" s="144"/>
      <c r="D14" s="145"/>
      <c r="E14" s="9">
        <v>0</v>
      </c>
      <c r="F14" s="8" t="s">
        <v>3</v>
      </c>
      <c r="G14" s="1"/>
    </row>
    <row r="15" spans="1:7" x14ac:dyDescent="0.25">
      <c r="A15" s="1"/>
      <c r="B15" s="131" t="s">
        <v>222</v>
      </c>
      <c r="C15" s="132"/>
      <c r="D15" s="133"/>
      <c r="E15" s="9">
        <v>0</v>
      </c>
      <c r="F15" s="8" t="s">
        <v>3</v>
      </c>
      <c r="G15" s="1"/>
    </row>
    <row r="16" spans="1:7" x14ac:dyDescent="0.25">
      <c r="A16" s="1"/>
      <c r="B16" s="140" t="s">
        <v>88</v>
      </c>
      <c r="C16" s="141"/>
      <c r="D16" s="142"/>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RDBCOZEpeuaHW54o8bHLZ8nNq4TrJmyGuaO0a5ushXGav5NdCZnJ/CDaHqLcaSX2jopfPJaTcDMO3oDtFbw0w==" saltValue="An+ZeD0dbvxWEOp11kJC7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257</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49" t="s">
        <v>230</v>
      </c>
      <c r="C8" s="150"/>
      <c r="D8" s="150"/>
      <c r="E8" s="150"/>
      <c r="F8" s="150"/>
      <c r="G8" s="150"/>
      <c r="H8" s="150"/>
      <c r="I8" s="150"/>
      <c r="J8" s="150"/>
      <c r="K8" s="152"/>
      <c r="L8" s="1"/>
    </row>
    <row r="9" spans="1:12" ht="39.75" customHeight="1" x14ac:dyDescent="0.25">
      <c r="A9" s="1"/>
      <c r="B9" s="19" t="s">
        <v>0</v>
      </c>
      <c r="C9" s="19" t="s">
        <v>1</v>
      </c>
      <c r="D9" s="174" t="s">
        <v>248</v>
      </c>
      <c r="E9" s="175"/>
      <c r="F9" s="174" t="s">
        <v>2</v>
      </c>
      <c r="G9" s="175"/>
      <c r="H9" s="174" t="s">
        <v>250</v>
      </c>
      <c r="I9" s="175"/>
      <c r="J9" s="174" t="s">
        <v>30</v>
      </c>
      <c r="K9" s="175"/>
      <c r="L9" s="1"/>
    </row>
    <row r="10" spans="1:12" x14ac:dyDescent="0.25">
      <c r="A10" s="1"/>
      <c r="B10" s="90" t="s">
        <v>283</v>
      </c>
      <c r="C10" s="38">
        <v>0</v>
      </c>
      <c r="D10" s="9">
        <v>0</v>
      </c>
      <c r="E10" s="14" t="s">
        <v>3</v>
      </c>
      <c r="F10" s="9">
        <f>IFERROR(D10/C10,0)</f>
        <v>0</v>
      </c>
      <c r="G10" s="14" t="s">
        <v>3</v>
      </c>
      <c r="H10" s="9">
        <v>0</v>
      </c>
      <c r="I10" s="14" t="s">
        <v>3</v>
      </c>
      <c r="J10" s="9">
        <v>0</v>
      </c>
      <c r="K10" s="14" t="s">
        <v>3</v>
      </c>
      <c r="L10" s="1"/>
    </row>
    <row r="11" spans="1:12" x14ac:dyDescent="0.25">
      <c r="A11" s="1"/>
      <c r="B11" s="149" t="s">
        <v>231</v>
      </c>
      <c r="C11" s="150"/>
      <c r="D11" s="150"/>
      <c r="E11" s="152"/>
      <c r="F11" s="12">
        <f>SUM(F10:F10)</f>
        <v>0</v>
      </c>
      <c r="G11" s="88" t="s">
        <v>249</v>
      </c>
      <c r="H11" s="12">
        <f>SUM(H10:H10)</f>
        <v>0</v>
      </c>
      <c r="I11" s="88"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AgOHlutdn69bq2us8CeFtfnozukPegRloSCgl9b2PWweFNULctVBGTc+s84aUnCmu7B6bxEe/7AKwuqaugh3A==" saltValue="Zol16wgbgZ1txxy/5JFoV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258</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3" t="s">
        <v>17</v>
      </c>
      <c r="C9" s="73" t="s">
        <v>11</v>
      </c>
      <c r="D9" s="74"/>
      <c r="E9" s="73" t="s">
        <v>31</v>
      </c>
      <c r="F9" s="93"/>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285</v>
      </c>
      <c r="C11" s="22">
        <v>398188</v>
      </c>
      <c r="D11" s="14" t="s">
        <v>3</v>
      </c>
      <c r="E11" s="9">
        <v>295745</v>
      </c>
      <c r="F11" s="14" t="s">
        <v>3</v>
      </c>
      <c r="G11" s="1"/>
    </row>
    <row r="12" spans="1:7" x14ac:dyDescent="0.25">
      <c r="A12" s="1"/>
      <c r="B12" s="25" t="s">
        <v>286</v>
      </c>
      <c r="C12" s="22">
        <v>0</v>
      </c>
      <c r="D12" s="14" t="s">
        <v>3</v>
      </c>
      <c r="E12" s="9">
        <v>12062</v>
      </c>
      <c r="F12" s="14" t="s">
        <v>3</v>
      </c>
      <c r="G12" s="1"/>
    </row>
    <row r="13" spans="1:7" x14ac:dyDescent="0.25">
      <c r="A13" s="1"/>
      <c r="B13" s="25" t="s">
        <v>74</v>
      </c>
      <c r="C13" s="22">
        <v>92552</v>
      </c>
      <c r="D13" s="14" t="s">
        <v>3</v>
      </c>
      <c r="E13" s="9">
        <v>0</v>
      </c>
      <c r="F13" s="14" t="s">
        <v>3</v>
      </c>
      <c r="G13" s="1"/>
    </row>
    <row r="14" spans="1:7" x14ac:dyDescent="0.25">
      <c r="A14" s="1"/>
      <c r="B14" s="32" t="s">
        <v>144</v>
      </c>
      <c r="C14" s="12">
        <f>SUM(C10:C13)</f>
        <v>490740</v>
      </c>
      <c r="D14" s="13" t="s">
        <v>3</v>
      </c>
      <c r="E14" s="12">
        <f>SUM(E10:E13)</f>
        <v>307807</v>
      </c>
      <c r="F14" s="13" t="s">
        <v>3</v>
      </c>
      <c r="G14" s="1"/>
    </row>
    <row r="15" spans="1:7" x14ac:dyDescent="0.25">
      <c r="A15" s="1"/>
      <c r="B15" s="32" t="s">
        <v>224</v>
      </c>
      <c r="C15" s="12">
        <f>C14*(1+'Fane 15. Nøgletal'!C15)</f>
        <v>508210.34400000004</v>
      </c>
      <c r="D15" s="13" t="s">
        <v>3</v>
      </c>
      <c r="E15" s="12">
        <f>E14*(1+'Fane 15. Nøgletal'!C15)</f>
        <v>318764.92920000001</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X8YpWLRqsnec8uYFg2O5iVw9/cQ7CkHcfDZWfAJld9BStwb7tlPsu/24QmX8R1gmERBQx+tJ/FHwHnRHVsJzw==" saltValue="IA2qR8kVJvSYBt/x8k+pc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259</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86" t="s">
        <v>85</v>
      </c>
      <c r="C7" s="87"/>
      <c r="D7" s="87"/>
      <c r="E7" s="87"/>
      <c r="F7" s="88"/>
      <c r="G7" s="1"/>
    </row>
    <row r="8" spans="1:7" x14ac:dyDescent="0.25">
      <c r="A8" s="1"/>
      <c r="B8" s="73" t="s">
        <v>17</v>
      </c>
      <c r="C8" s="73" t="s">
        <v>11</v>
      </c>
      <c r="D8" s="74"/>
      <c r="E8" s="73" t="s">
        <v>31</v>
      </c>
      <c r="F8" s="93"/>
      <c r="G8" s="1"/>
    </row>
    <row r="9" spans="1:7" x14ac:dyDescent="0.25">
      <c r="A9" s="1"/>
      <c r="B9" s="25" t="s">
        <v>74</v>
      </c>
      <c r="C9" s="22">
        <v>277656</v>
      </c>
      <c r="D9" s="14" t="s">
        <v>3</v>
      </c>
      <c r="E9" s="22">
        <v>0</v>
      </c>
      <c r="F9" s="14" t="s">
        <v>3</v>
      </c>
      <c r="G9" s="1"/>
    </row>
    <row r="10" spans="1:7" x14ac:dyDescent="0.25">
      <c r="A10" s="1"/>
      <c r="B10" s="32" t="s">
        <v>233</v>
      </c>
      <c r="C10" s="12">
        <f>SUM(C9:C9)</f>
        <v>277656</v>
      </c>
      <c r="D10" s="13" t="s">
        <v>3</v>
      </c>
      <c r="E10" s="12">
        <f>SUM(E9:E9)</f>
        <v>0</v>
      </c>
      <c r="F10" s="13" t="s">
        <v>3</v>
      </c>
      <c r="G10" s="1"/>
    </row>
    <row r="11" spans="1:7" x14ac:dyDescent="0.25">
      <c r="A11" s="1"/>
      <c r="B11" s="32" t="s">
        <v>145</v>
      </c>
      <c r="C11" s="12">
        <f>C10*(1+'Fane 15. Nøgletal'!$C$15)^2</f>
        <v>297776.99730816</v>
      </c>
      <c r="D11" s="13" t="s">
        <v>3</v>
      </c>
      <c r="E11" s="12">
        <f>E10*(1+'Fane 15. Nøgletal'!$C$15)^2</f>
        <v>0</v>
      </c>
      <c r="F11" s="13" t="s">
        <v>3</v>
      </c>
      <c r="G11" s="1"/>
    </row>
    <row r="12" spans="1:7" x14ac:dyDescent="0.25">
      <c r="A12" s="1"/>
      <c r="B12" s="1"/>
      <c r="C12" s="1"/>
      <c r="D12" s="1"/>
      <c r="E12" s="1"/>
      <c r="F12" s="1"/>
      <c r="G12" s="1"/>
    </row>
    <row r="13" spans="1:7" x14ac:dyDescent="0.25">
      <c r="A13" s="1"/>
      <c r="B13" s="91"/>
      <c r="C13" s="91"/>
      <c r="D13" s="91"/>
      <c r="E13" s="91"/>
      <c r="F13" s="91"/>
      <c r="G13" s="1"/>
    </row>
    <row r="14" spans="1:7" x14ac:dyDescent="0.25">
      <c r="A14" s="1"/>
      <c r="B14" s="47"/>
      <c r="C14" s="47"/>
      <c r="D14" s="47"/>
      <c r="E14" s="47"/>
      <c r="F14" s="48"/>
      <c r="G14" s="1"/>
    </row>
    <row r="15" spans="1:7" x14ac:dyDescent="0.25">
      <c r="A15" s="1"/>
      <c r="B15" s="49"/>
      <c r="C15" s="50"/>
      <c r="D15" s="51"/>
      <c r="E15" s="50"/>
      <c r="F15" s="51"/>
      <c r="G15" s="1"/>
    </row>
    <row r="16" spans="1:7" x14ac:dyDescent="0.25">
      <c r="A16" s="1"/>
      <c r="B16" s="49"/>
      <c r="C16" s="50"/>
      <c r="D16" s="51"/>
      <c r="E16" s="50"/>
      <c r="F16" s="51"/>
      <c r="G16" s="1"/>
    </row>
    <row r="17" spans="1:7" x14ac:dyDescent="0.25">
      <c r="A17" s="1"/>
      <c r="B17" s="31"/>
      <c r="C17" s="52"/>
      <c r="D17" s="53"/>
      <c r="E17" s="52"/>
      <c r="F17" s="53"/>
      <c r="G17" s="1"/>
    </row>
    <row r="18" spans="1:7" x14ac:dyDescent="0.25">
      <c r="A18" s="1"/>
      <c r="B18" s="31"/>
      <c r="C18" s="52"/>
      <c r="D18" s="53"/>
      <c r="E18" s="52"/>
      <c r="F18" s="53"/>
      <c r="G18" s="1"/>
    </row>
    <row r="19" spans="1:7" x14ac:dyDescent="0.25">
      <c r="A19" s="1"/>
      <c r="B19" s="46"/>
      <c r="C19" s="46"/>
      <c r="D19" s="46"/>
      <c r="E19" s="46"/>
      <c r="F19" s="46"/>
      <c r="G19" s="1"/>
    </row>
    <row r="20" spans="1:7" x14ac:dyDescent="0.25">
      <c r="A20" s="1"/>
      <c r="B20" s="176"/>
      <c r="C20" s="176"/>
      <c r="D20" s="176"/>
      <c r="E20" s="176"/>
      <c r="F20" s="176"/>
      <c r="G20" s="1"/>
    </row>
    <row r="21" spans="1:7" x14ac:dyDescent="0.25">
      <c r="A21" s="1"/>
      <c r="B21" s="47"/>
      <c r="C21" s="47"/>
      <c r="D21" s="47"/>
      <c r="E21" s="47"/>
      <c r="F21" s="48"/>
      <c r="G21" s="1"/>
    </row>
    <row r="22" spans="1:7" x14ac:dyDescent="0.25">
      <c r="A22" s="1"/>
      <c r="B22" s="49"/>
      <c r="C22" s="50"/>
      <c r="D22" s="51"/>
      <c r="E22" s="50"/>
      <c r="F22" s="51"/>
      <c r="G22" s="1"/>
    </row>
    <row r="23" spans="1:7" x14ac:dyDescent="0.25">
      <c r="A23" s="1"/>
      <c r="B23" s="49"/>
      <c r="C23" s="50"/>
      <c r="D23" s="51"/>
      <c r="E23" s="50"/>
      <c r="F23" s="51"/>
      <c r="G23" s="1"/>
    </row>
    <row r="24" spans="1:7" x14ac:dyDescent="0.25">
      <c r="A24" s="1"/>
      <c r="B24" s="31"/>
      <c r="C24" s="52"/>
      <c r="D24" s="53"/>
      <c r="E24" s="52"/>
      <c r="F24" s="53"/>
      <c r="G24" s="1"/>
    </row>
    <row r="25" spans="1:7" x14ac:dyDescent="0.25">
      <c r="A25" s="1"/>
      <c r="B25" s="31"/>
      <c r="C25" s="52"/>
      <c r="D25" s="53"/>
      <c r="E25" s="52"/>
      <c r="F25" s="53"/>
      <c r="G25" s="1"/>
    </row>
    <row r="26" spans="1:7" x14ac:dyDescent="0.25">
      <c r="A26" s="1"/>
      <c r="B26" s="46"/>
      <c r="C26" s="46"/>
      <c r="D26" s="46"/>
      <c r="E26" s="46"/>
      <c r="F26" s="46"/>
      <c r="G26" s="1"/>
    </row>
    <row r="27" spans="1:7" x14ac:dyDescent="0.25">
      <c r="A27" s="1"/>
      <c r="B27" s="176"/>
      <c r="C27" s="176"/>
      <c r="D27" s="176"/>
      <c r="E27" s="176"/>
      <c r="F27" s="176"/>
      <c r="G27" s="1"/>
    </row>
    <row r="28" spans="1:7" x14ac:dyDescent="0.25">
      <c r="A28" s="1"/>
      <c r="B28" s="47"/>
      <c r="C28" s="47"/>
      <c r="D28" s="47"/>
      <c r="E28" s="47"/>
      <c r="F28" s="48"/>
      <c r="G28" s="1"/>
    </row>
    <row r="29" spans="1:7" x14ac:dyDescent="0.25">
      <c r="A29" s="1"/>
      <c r="B29" s="49"/>
      <c r="C29" s="50"/>
      <c r="D29" s="51"/>
      <c r="E29" s="50"/>
      <c r="F29" s="51"/>
      <c r="G29" s="1"/>
    </row>
    <row r="30" spans="1:7" x14ac:dyDescent="0.25">
      <c r="A30" s="1"/>
      <c r="B30" s="49"/>
      <c r="C30" s="50"/>
      <c r="D30" s="51"/>
      <c r="E30" s="50"/>
      <c r="F30" s="51"/>
      <c r="G30" s="1"/>
    </row>
    <row r="31" spans="1:7" x14ac:dyDescent="0.25">
      <c r="A31" s="1"/>
      <c r="B31" s="31"/>
      <c r="C31" s="52"/>
      <c r="D31" s="53"/>
      <c r="E31" s="52"/>
      <c r="F31" s="53"/>
      <c r="G31" s="1"/>
    </row>
    <row r="32" spans="1:7" x14ac:dyDescent="0.25">
      <c r="A32" s="1"/>
      <c r="B32" s="31"/>
      <c r="C32" s="52"/>
      <c r="D32" s="53"/>
      <c r="E32" s="52"/>
      <c r="F32" s="5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QnyqLOom5vgrSDWdD7HNtGn4ACP8ov45LgqIquIvHkTwwlFV59ybgqvoCmh7PKWSwpYssv0QhRK/CzIHlnycvg==" saltValue="EnIv/2XNIh4VL9v+MEdiuw=="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260</v>
      </c>
      <c r="C3" s="121"/>
      <c r="D3" s="121"/>
      <c r="E3" s="121"/>
      <c r="F3" s="121"/>
      <c r="G3" s="1"/>
    </row>
    <row r="4" spans="1:7" ht="15" customHeight="1" x14ac:dyDescent="0.25">
      <c r="A4" s="1"/>
      <c r="B4" s="121"/>
      <c r="C4" s="121"/>
      <c r="D4" s="121"/>
      <c r="E4" s="121"/>
      <c r="F4" s="121"/>
      <c r="G4" s="1"/>
    </row>
    <row r="5" spans="1:7" x14ac:dyDescent="0.25">
      <c r="A5" s="1"/>
      <c r="B5" s="121"/>
      <c r="C5" s="121"/>
      <c r="D5" s="121"/>
      <c r="E5" s="121"/>
      <c r="F5" s="12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49" t="s">
        <v>79</v>
      </c>
      <c r="C9" s="150"/>
      <c r="D9" s="150"/>
      <c r="E9" s="150"/>
      <c r="F9" s="152"/>
      <c r="G9" s="1"/>
    </row>
    <row r="10" spans="1:7" x14ac:dyDescent="0.25">
      <c r="A10" s="1"/>
      <c r="B10" s="170" t="s">
        <v>240</v>
      </c>
      <c r="C10" s="171"/>
      <c r="D10" s="172"/>
      <c r="E10" s="9">
        <v>0</v>
      </c>
      <c r="F10" s="14" t="s">
        <v>3</v>
      </c>
      <c r="G10" s="1"/>
    </row>
    <row r="11" spans="1:7" x14ac:dyDescent="0.25">
      <c r="A11" s="1"/>
      <c r="B11" s="128" t="s">
        <v>10</v>
      </c>
      <c r="C11" s="129"/>
      <c r="D11" s="130"/>
      <c r="E11" s="9">
        <f>-E10*'Fane 5. Individuelt eff. krav'!G9</f>
        <v>0</v>
      </c>
      <c r="F11" s="14" t="s">
        <v>3</v>
      </c>
      <c r="G11" s="1"/>
    </row>
    <row r="12" spans="1:7" x14ac:dyDescent="0.25">
      <c r="A12" s="1"/>
      <c r="B12" s="128" t="s">
        <v>25</v>
      </c>
      <c r="C12" s="129"/>
      <c r="D12" s="130"/>
      <c r="E12" s="9">
        <f>-E10*'Fane 15. Nøgletal'!C31</f>
        <v>0</v>
      </c>
      <c r="F12" s="14" t="s">
        <v>3</v>
      </c>
      <c r="G12" s="1"/>
    </row>
    <row r="13" spans="1:7" x14ac:dyDescent="0.25">
      <c r="A13" s="1"/>
      <c r="B13" s="149" t="s">
        <v>80</v>
      </c>
      <c r="C13" s="150"/>
      <c r="D13" s="152"/>
      <c r="E13" s="12">
        <f>SUM(E10:E12)*(1+'Fane 15. Nøgletal'!C15)^2</f>
        <v>0</v>
      </c>
      <c r="F13" s="13" t="s">
        <v>3</v>
      </c>
      <c r="G13" s="1"/>
    </row>
    <row r="14" spans="1:7" x14ac:dyDescent="0.25">
      <c r="A14" s="1"/>
      <c r="B14" s="1"/>
      <c r="C14" s="1"/>
      <c r="D14" s="1"/>
      <c r="E14" s="1"/>
      <c r="F14" s="1"/>
      <c r="G14" s="1"/>
    </row>
    <row r="15" spans="1:7" x14ac:dyDescent="0.25">
      <c r="A15" s="1"/>
      <c r="B15" s="149" t="s">
        <v>117</v>
      </c>
      <c r="C15" s="150"/>
      <c r="D15" s="150"/>
      <c r="E15" s="150"/>
      <c r="F15" s="152"/>
      <c r="G15" s="1"/>
    </row>
    <row r="16" spans="1:7" x14ac:dyDescent="0.25">
      <c r="A16" s="1"/>
      <c r="B16" s="170" t="s">
        <v>240</v>
      </c>
      <c r="C16" s="171"/>
      <c r="D16" s="172"/>
      <c r="E16" s="9">
        <v>0</v>
      </c>
      <c r="F16" s="14" t="s">
        <v>3</v>
      </c>
      <c r="G16" s="1"/>
    </row>
    <row r="17" spans="1:7" x14ac:dyDescent="0.25">
      <c r="A17" s="1"/>
      <c r="B17" s="128" t="s">
        <v>10</v>
      </c>
      <c r="C17" s="129"/>
      <c r="D17" s="130"/>
      <c r="E17" s="9">
        <f>-E16*'Fane 5. Individuelt eff. krav'!G9</f>
        <v>0</v>
      </c>
      <c r="F17" s="14" t="s">
        <v>3</v>
      </c>
      <c r="G17" s="1"/>
    </row>
    <row r="18" spans="1:7" x14ac:dyDescent="0.25">
      <c r="A18" s="1"/>
      <c r="B18" s="128" t="s">
        <v>25</v>
      </c>
      <c r="C18" s="129"/>
      <c r="D18" s="130"/>
      <c r="E18" s="9">
        <f>-E16*'Fane 15. Nøgletal'!C31</f>
        <v>0</v>
      </c>
      <c r="F18" s="14" t="s">
        <v>3</v>
      </c>
      <c r="G18" s="1"/>
    </row>
    <row r="19" spans="1:7" x14ac:dyDescent="0.25">
      <c r="A19" s="1"/>
      <c r="B19" s="149" t="s">
        <v>118</v>
      </c>
      <c r="C19" s="150"/>
      <c r="D19" s="152"/>
      <c r="E19" s="12">
        <f>SUM(E16:E18)*(1+'Fane 15. Nøgletal'!C15)^3</f>
        <v>0</v>
      </c>
      <c r="F19" s="13" t="s">
        <v>3</v>
      </c>
      <c r="G19" s="1"/>
    </row>
    <row r="20" spans="1:7" x14ac:dyDescent="0.25">
      <c r="A20" s="1"/>
      <c r="B20" s="1"/>
      <c r="C20" s="1"/>
      <c r="D20" s="1"/>
      <c r="E20" s="1"/>
      <c r="F20" s="1"/>
      <c r="G20" s="1"/>
    </row>
    <row r="21" spans="1:7" x14ac:dyDescent="0.25">
      <c r="A21" s="1"/>
      <c r="B21" s="149" t="s">
        <v>146</v>
      </c>
      <c r="C21" s="150"/>
      <c r="D21" s="150"/>
      <c r="E21" s="150"/>
      <c r="F21" s="152"/>
      <c r="G21" s="1"/>
    </row>
    <row r="22" spans="1:7" x14ac:dyDescent="0.25">
      <c r="A22" s="1"/>
      <c r="B22" s="170" t="s">
        <v>240</v>
      </c>
      <c r="C22" s="171"/>
      <c r="D22" s="172"/>
      <c r="E22" s="9">
        <v>0</v>
      </c>
      <c r="F22" s="14" t="s">
        <v>3</v>
      </c>
      <c r="G22" s="1"/>
    </row>
    <row r="23" spans="1:7" x14ac:dyDescent="0.25">
      <c r="A23" s="1"/>
      <c r="B23" s="128" t="s">
        <v>10</v>
      </c>
      <c r="C23" s="129"/>
      <c r="D23" s="130"/>
      <c r="E23" s="9">
        <f>-E22*'Fane 5. Individuelt eff. krav'!G9</f>
        <v>0</v>
      </c>
      <c r="F23" s="14" t="s">
        <v>3</v>
      </c>
      <c r="G23" s="1"/>
    </row>
    <row r="24" spans="1:7" x14ac:dyDescent="0.25">
      <c r="A24" s="1"/>
      <c r="B24" s="128" t="s">
        <v>25</v>
      </c>
      <c r="C24" s="129"/>
      <c r="D24" s="130"/>
      <c r="E24" s="9">
        <f>-E22*'Fane 15. Nøgletal'!C31</f>
        <v>0</v>
      </c>
      <c r="F24" s="14" t="s">
        <v>3</v>
      </c>
      <c r="G24" s="1"/>
    </row>
    <row r="25" spans="1:7" x14ac:dyDescent="0.25">
      <c r="A25" s="1"/>
      <c r="B25" s="149" t="s">
        <v>147</v>
      </c>
      <c r="C25" s="150"/>
      <c r="D25" s="152"/>
      <c r="E25" s="12">
        <f>SUM(E22:E24)*(1+'Fane 15. Nøgletal'!C15)^4</f>
        <v>0</v>
      </c>
      <c r="F25" s="13" t="s">
        <v>3</v>
      </c>
      <c r="G25" s="1"/>
    </row>
    <row r="26" spans="1:7" x14ac:dyDescent="0.25">
      <c r="A26" s="1"/>
      <c r="B26" s="1"/>
      <c r="C26" s="1"/>
      <c r="D26" s="1"/>
      <c r="E26" s="1"/>
      <c r="F26" s="1"/>
      <c r="G26" s="1"/>
    </row>
    <row r="27" spans="1:7" x14ac:dyDescent="0.25">
      <c r="A27" s="1"/>
      <c r="B27" s="149" t="s">
        <v>225</v>
      </c>
      <c r="C27" s="150"/>
      <c r="D27" s="150"/>
      <c r="E27" s="150"/>
      <c r="F27" s="152"/>
      <c r="G27" s="1"/>
    </row>
    <row r="28" spans="1:7" x14ac:dyDescent="0.25">
      <c r="A28" s="1"/>
      <c r="B28" s="170" t="s">
        <v>240</v>
      </c>
      <c r="C28" s="171"/>
      <c r="D28" s="172"/>
      <c r="E28" s="9">
        <v>0</v>
      </c>
      <c r="F28" s="14" t="s">
        <v>3</v>
      </c>
      <c r="G28" s="1"/>
    </row>
    <row r="29" spans="1:7" x14ac:dyDescent="0.25">
      <c r="A29" s="1"/>
      <c r="B29" s="128" t="s">
        <v>10</v>
      </c>
      <c r="C29" s="129"/>
      <c r="D29" s="130"/>
      <c r="E29" s="9">
        <f>-E28*'Fane 5. Individuelt eff. krav'!G9</f>
        <v>0</v>
      </c>
      <c r="F29" s="14" t="s">
        <v>3</v>
      </c>
      <c r="G29" s="1"/>
    </row>
    <row r="30" spans="1:7" x14ac:dyDescent="0.25">
      <c r="A30" s="1"/>
      <c r="B30" s="128" t="s">
        <v>25</v>
      </c>
      <c r="C30" s="129"/>
      <c r="D30" s="130"/>
      <c r="E30" s="9">
        <f>-E28*'Fane 15. Nøgletal'!C31</f>
        <v>0</v>
      </c>
      <c r="F30" s="14" t="s">
        <v>3</v>
      </c>
      <c r="G30" s="1"/>
    </row>
    <row r="31" spans="1:7" x14ac:dyDescent="0.25">
      <c r="A31" s="1"/>
      <c r="B31" s="149" t="s">
        <v>226</v>
      </c>
      <c r="C31" s="150"/>
      <c r="D31" s="152"/>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7+5auqV8EUFwFJt1L+Ns4Z9DOQzo0PIJWVw2BIRtkegQeHffrZx0c14+FvBLFeHecuCcskhborfY2tyeZTOByg==" saltValue="0pWPdBnZoqafH5CHWkED3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261</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49" t="s">
        <v>119</v>
      </c>
      <c r="C8" s="150"/>
      <c r="D8" s="150"/>
      <c r="E8" s="150"/>
      <c r="F8" s="152"/>
      <c r="G8" s="1"/>
    </row>
    <row r="9" spans="1:7" ht="15" customHeight="1" x14ac:dyDescent="0.25">
      <c r="A9" s="1"/>
      <c r="B9" s="92" t="s">
        <v>120</v>
      </c>
      <c r="C9" s="134" t="s">
        <v>11</v>
      </c>
      <c r="D9" s="136"/>
      <c r="E9" s="177" t="s">
        <v>31</v>
      </c>
      <c r="F9" s="178"/>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h/f82CKJF0BeiVgBbHmAgOLGWqumUFeGCslHmJsSrTsQoZ/Kp1g3dO7CJZ9kDQOuMlg36mbbriDCswYvrOdlXw==" saltValue="6L0Y/reTP559IUabTcBN1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262</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49" t="s">
        <v>81</v>
      </c>
      <c r="C9" s="150"/>
      <c r="D9" s="150"/>
      <c r="E9" s="150"/>
      <c r="F9" s="152"/>
      <c r="G9" s="1"/>
    </row>
    <row r="10" spans="1:7" ht="26.25" x14ac:dyDescent="0.25">
      <c r="A10" s="1"/>
      <c r="B10" s="92" t="s">
        <v>18</v>
      </c>
      <c r="C10" s="92" t="s">
        <v>11</v>
      </c>
      <c r="D10" s="93"/>
      <c r="E10" s="92" t="s">
        <v>31</v>
      </c>
      <c r="F10" s="93"/>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6"/>
      <c r="C15" s="176"/>
      <c r="D15" s="176"/>
      <c r="E15" s="176"/>
      <c r="F15" s="176"/>
      <c r="G15" s="1"/>
    </row>
    <row r="16" spans="1:7" x14ac:dyDescent="0.25">
      <c r="A16" s="1"/>
      <c r="B16" s="48"/>
      <c r="C16" s="48"/>
      <c r="D16" s="48"/>
      <c r="E16" s="48"/>
      <c r="F16" s="48"/>
      <c r="G16" s="1"/>
    </row>
    <row r="17" spans="1:7" x14ac:dyDescent="0.25">
      <c r="A17" s="1"/>
      <c r="B17" s="49"/>
      <c r="C17" s="54"/>
      <c r="D17" s="51"/>
      <c r="E17" s="54"/>
      <c r="F17" s="51"/>
      <c r="G17" s="1"/>
    </row>
    <row r="18" spans="1:7" x14ac:dyDescent="0.25">
      <c r="A18" s="1"/>
      <c r="B18" s="31"/>
      <c r="C18" s="52"/>
      <c r="D18" s="53"/>
      <c r="E18" s="52"/>
      <c r="F18" s="53"/>
      <c r="G18" s="1"/>
    </row>
    <row r="19" spans="1:7" x14ac:dyDescent="0.25">
      <c r="A19" s="1"/>
      <c r="B19" s="31"/>
      <c r="C19" s="52"/>
      <c r="D19" s="53"/>
      <c r="E19" s="52"/>
      <c r="F19" s="53"/>
      <c r="G19" s="1"/>
    </row>
    <row r="20" spans="1:7" x14ac:dyDescent="0.25">
      <c r="A20" s="1"/>
      <c r="B20" s="46"/>
      <c r="C20" s="46"/>
      <c r="D20" s="46"/>
      <c r="E20" s="46"/>
      <c r="F20" s="46"/>
      <c r="G20" s="1"/>
    </row>
    <row r="21" spans="1:7" x14ac:dyDescent="0.25">
      <c r="A21" s="1"/>
      <c r="B21" s="176"/>
      <c r="C21" s="176"/>
      <c r="D21" s="176"/>
      <c r="E21" s="176"/>
      <c r="F21" s="176"/>
      <c r="G21" s="1"/>
    </row>
    <row r="22" spans="1:7" x14ac:dyDescent="0.25">
      <c r="A22" s="1"/>
      <c r="B22" s="48"/>
      <c r="C22" s="48"/>
      <c r="D22" s="48"/>
      <c r="E22" s="48"/>
      <c r="F22" s="48"/>
      <c r="G22" s="1"/>
    </row>
    <row r="23" spans="1:7" x14ac:dyDescent="0.25">
      <c r="A23" s="1"/>
      <c r="B23" s="49"/>
      <c r="C23" s="54"/>
      <c r="D23" s="51"/>
      <c r="E23" s="54"/>
      <c r="F23" s="51"/>
      <c r="G23" s="1"/>
    </row>
    <row r="24" spans="1:7" x14ac:dyDescent="0.25">
      <c r="A24" s="1"/>
      <c r="B24" s="31"/>
      <c r="C24" s="52"/>
      <c r="D24" s="53"/>
      <c r="E24" s="52"/>
      <c r="F24" s="53"/>
      <c r="G24" s="1"/>
    </row>
    <row r="25" spans="1:7" x14ac:dyDescent="0.25">
      <c r="A25" s="1"/>
      <c r="B25" s="31"/>
      <c r="C25" s="52"/>
      <c r="D25" s="53"/>
      <c r="E25" s="52"/>
      <c r="F25" s="53"/>
      <c r="G25" s="1"/>
    </row>
    <row r="26" spans="1:7" x14ac:dyDescent="0.25">
      <c r="A26" s="1"/>
      <c r="B26" s="46"/>
      <c r="C26" s="46"/>
      <c r="D26" s="46"/>
      <c r="E26" s="46"/>
      <c r="F26" s="46"/>
      <c r="G26" s="1"/>
    </row>
    <row r="27" spans="1:7" x14ac:dyDescent="0.25">
      <c r="A27" s="1"/>
      <c r="B27" s="176"/>
      <c r="C27" s="176"/>
      <c r="D27" s="176"/>
      <c r="E27" s="176"/>
      <c r="F27" s="176"/>
      <c r="G27" s="1"/>
    </row>
    <row r="28" spans="1:7" x14ac:dyDescent="0.25">
      <c r="A28" s="1"/>
      <c r="B28" s="48"/>
      <c r="C28" s="48"/>
      <c r="D28" s="48"/>
      <c r="E28" s="48"/>
      <c r="F28" s="48"/>
      <c r="G28" s="1"/>
    </row>
    <row r="29" spans="1:7" x14ac:dyDescent="0.25">
      <c r="A29" s="1"/>
      <c r="B29" s="49"/>
      <c r="C29" s="54"/>
      <c r="D29" s="51"/>
      <c r="E29" s="54"/>
      <c r="F29" s="51"/>
      <c r="G29" s="1"/>
    </row>
    <row r="30" spans="1:7" x14ac:dyDescent="0.25">
      <c r="A30" s="1"/>
      <c r="B30" s="31"/>
      <c r="C30" s="52"/>
      <c r="D30" s="53"/>
      <c r="E30" s="52"/>
      <c r="F30" s="53"/>
      <c r="G30" s="1"/>
    </row>
    <row r="31" spans="1:7" x14ac:dyDescent="0.25">
      <c r="A31" s="1"/>
      <c r="B31" s="3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mtdM+XKH7ARPYFpyFOIkBr4RXFWMP49ObOLSS0yjH/cTv5tWkwUROKEGQ6wfvJPNkHFErJqCqjlYoxxfE6pjQ==" saltValue="kcSsvCDNEiUhX1Wta8QF8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195</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1" t="s">
        <v>93</v>
      </c>
      <c r="C9" s="7">
        <f>'Fane 3. Omkostninger i ØR2022'!E20</f>
        <v>84473982.450157136</v>
      </c>
      <c r="D9" s="8" t="s">
        <v>3</v>
      </c>
      <c r="E9" s="1"/>
    </row>
    <row r="10" spans="1:5" x14ac:dyDescent="0.25">
      <c r="A10" s="1"/>
      <c r="B10" s="75" t="s">
        <v>236</v>
      </c>
      <c r="C10" s="7">
        <f>('Fane 3. Omkostninger i ØR2022'!E10+'Fane 3. Omkostninger i ØR2022'!E14)*(1+'Fane 15. Nøgletal'!C14)*(1-'Fane 15. Nøgletal'!C31-'Fane 5. Individuelt eff. krav'!G9)</f>
        <v>371668.62208435166</v>
      </c>
      <c r="D10" s="8" t="s">
        <v>3</v>
      </c>
      <c r="E10" s="1"/>
    </row>
    <row r="11" spans="1:5" x14ac:dyDescent="0.25">
      <c r="A11" s="1"/>
      <c r="B11" s="75" t="s">
        <v>237</v>
      </c>
      <c r="C11" s="7">
        <f>('Fane 3. Omkostninger i ØR2022'!E11+'Fane 3. Omkostninger i ØR2022'!E15)*(1+'Fane 15. Nøgletal'!C14)*(1-'Fane 15. Nøgletal'!C25-'Fane 5. Individuelt eff. krav'!G9)</f>
        <v>467045.21012577746</v>
      </c>
      <c r="D11" s="8" t="s">
        <v>3</v>
      </c>
      <c r="E11" s="1"/>
    </row>
    <row r="12" spans="1:5" ht="17.25" customHeight="1" x14ac:dyDescent="0.25">
      <c r="A12" s="1"/>
      <c r="B12" s="79" t="s">
        <v>39</v>
      </c>
      <c r="C12" s="40">
        <f>'Fane 11.1. Varige tillæg'!C15</f>
        <v>508210.34400000004</v>
      </c>
      <c r="D12" s="8" t="s">
        <v>3</v>
      </c>
      <c r="E12" s="1"/>
    </row>
    <row r="13" spans="1:5" ht="17.25" customHeight="1" x14ac:dyDescent="0.25">
      <c r="A13" s="1"/>
      <c r="B13" s="79" t="s">
        <v>40</v>
      </c>
      <c r="C13" s="40">
        <f>'Fane 11.1. Varige tillæg'!E15</f>
        <v>318764.92920000001</v>
      </c>
      <c r="D13" s="8" t="s">
        <v>3</v>
      </c>
      <c r="E13" s="1"/>
    </row>
    <row r="14" spans="1:5" ht="17.25" customHeight="1" x14ac:dyDescent="0.25">
      <c r="A14" s="1"/>
      <c r="B14" s="79" t="s">
        <v>28</v>
      </c>
      <c r="C14" s="9">
        <f>-'Fane 14. Bortfald'!C13</f>
        <v>0</v>
      </c>
      <c r="D14" s="8" t="s">
        <v>3</v>
      </c>
      <c r="E14" s="1"/>
    </row>
    <row r="15" spans="1:5" ht="17.25" customHeight="1" x14ac:dyDescent="0.25">
      <c r="A15" s="1"/>
      <c r="B15" s="79" t="s">
        <v>27</v>
      </c>
      <c r="C15" s="9">
        <f>-'Fane 14. Bortfald'!E13</f>
        <v>0</v>
      </c>
      <c r="D15" s="8" t="s">
        <v>3</v>
      </c>
      <c r="E15" s="1"/>
    </row>
    <row r="16" spans="1:5" ht="17.25" customHeight="1" x14ac:dyDescent="0.25">
      <c r="A16" s="1"/>
      <c r="B16" s="79" t="s">
        <v>113</v>
      </c>
      <c r="C16" s="9">
        <f>'Fane 13. Tilknyttet virksomhed'!C12</f>
        <v>0</v>
      </c>
      <c r="D16" s="8" t="s">
        <v>3</v>
      </c>
      <c r="E16" s="1"/>
    </row>
    <row r="17" spans="1:5" ht="17.25" customHeight="1" x14ac:dyDescent="0.25">
      <c r="A17" s="1"/>
      <c r="B17" s="79" t="s">
        <v>114</v>
      </c>
      <c r="C17" s="9">
        <f>'Fane 13. Tilknyttet virksomhed'!E12</f>
        <v>0</v>
      </c>
      <c r="D17" s="8" t="s">
        <v>3</v>
      </c>
      <c r="E17" s="1"/>
    </row>
    <row r="18" spans="1:5" ht="17.25" customHeight="1" x14ac:dyDescent="0.25">
      <c r="A18" s="1"/>
      <c r="B18" s="79" t="s">
        <v>19</v>
      </c>
      <c r="C18" s="9">
        <f>SUM(C9)*'Fane 15. Nøgletal'!C14+SUM(C12:C17)*'Fane 15. Nøgletal'!C15</f>
        <v>308204.46181143855</v>
      </c>
      <c r="D18" s="8" t="s">
        <v>3</v>
      </c>
      <c r="E18" s="1"/>
    </row>
    <row r="19" spans="1:5" ht="17.25" customHeight="1" x14ac:dyDescent="0.25">
      <c r="A19" s="1"/>
      <c r="B19" s="79" t="s">
        <v>10</v>
      </c>
      <c r="C19" s="9">
        <f>-SUM(C9,C12:C18)*'Fane 5. Individuelt eff. krav'!G9</f>
        <v>-482215.39165169257</v>
      </c>
      <c r="D19" s="8" t="s">
        <v>3</v>
      </c>
      <c r="E19" s="1"/>
    </row>
    <row r="20" spans="1:5" ht="17.25" customHeight="1" x14ac:dyDescent="0.25">
      <c r="A20" s="1"/>
      <c r="B20" s="79" t="s">
        <v>25</v>
      </c>
      <c r="C20" s="9">
        <f>-'Fane 4.1. Gen. krav - drift'!G48</f>
        <v>-609650.73856885626</v>
      </c>
      <c r="D20" s="8" t="s">
        <v>3</v>
      </c>
      <c r="E20" s="42"/>
    </row>
    <row r="21" spans="1:5" ht="15" customHeight="1" x14ac:dyDescent="0.25">
      <c r="A21" s="1"/>
      <c r="B21" s="79" t="s">
        <v>26</v>
      </c>
      <c r="C21" s="9">
        <f>-'Fane 4.2. Gen. krav - anlæg'!G47</f>
        <v>-818214.67899510835</v>
      </c>
      <c r="D21" s="8" t="s">
        <v>3</v>
      </c>
      <c r="E21" s="1"/>
    </row>
    <row r="22" spans="1:5" ht="15" customHeight="1" x14ac:dyDescent="0.25">
      <c r="A22" s="1"/>
      <c r="B22" s="76" t="s">
        <v>21</v>
      </c>
      <c r="C22" s="10">
        <f>SUM(C9,C12:C21)</f>
        <v>83699081.375952914</v>
      </c>
      <c r="D22" s="11" t="s">
        <v>3</v>
      </c>
      <c r="E22" s="1"/>
    </row>
    <row r="23" spans="1:5" ht="15" customHeight="1" x14ac:dyDescent="0.25">
      <c r="A23" s="1"/>
      <c r="B23" s="32" t="s">
        <v>12</v>
      </c>
      <c r="C23" s="33"/>
      <c r="D23" s="20"/>
      <c r="E23" s="1"/>
    </row>
    <row r="24" spans="1:5" ht="15" customHeight="1" x14ac:dyDescent="0.25">
      <c r="A24" s="1"/>
      <c r="B24" s="92" t="s">
        <v>12</v>
      </c>
      <c r="C24" s="10">
        <f>'Fane 6. Ikke-påvirkelige omk.'!C16+'Fane 6. Ikke-påvirkelige omk.'!C20+'Fane 6. Ikke-påvirkelige omk.'!C28</f>
        <v>1060446.07336176</v>
      </c>
      <c r="D24" s="11" t="s">
        <v>3</v>
      </c>
      <c r="E24" s="1"/>
    </row>
    <row r="25" spans="1:5" ht="15" customHeight="1" x14ac:dyDescent="0.25">
      <c r="A25" s="1"/>
      <c r="B25" s="32" t="s">
        <v>74</v>
      </c>
      <c r="C25" s="33"/>
      <c r="D25" s="20"/>
      <c r="E25" s="1"/>
    </row>
    <row r="26" spans="1:5" ht="15" customHeight="1" x14ac:dyDescent="0.25">
      <c r="A26" s="1"/>
      <c r="B26" s="76" t="s">
        <v>74</v>
      </c>
      <c r="C26" s="10">
        <f>'Fane 12. Periodevise driftsomk.'!E13</f>
        <v>0</v>
      </c>
      <c r="D26" s="11" t="s">
        <v>3</v>
      </c>
      <c r="E26" s="1"/>
    </row>
    <row r="27" spans="1:5" ht="15" customHeight="1" x14ac:dyDescent="0.25">
      <c r="A27" s="1"/>
      <c r="B27" s="32" t="s">
        <v>73</v>
      </c>
      <c r="C27" s="33"/>
      <c r="D27" s="20"/>
      <c r="E27" s="1"/>
    </row>
    <row r="28" spans="1:5" x14ac:dyDescent="0.25">
      <c r="A28" s="1"/>
      <c r="B28" s="79" t="s">
        <v>69</v>
      </c>
      <c r="C28" s="9">
        <f>'Fane 11.2. Engangstillæg'!C11</f>
        <v>297776.99730816</v>
      </c>
      <c r="D28" s="8" t="s">
        <v>3</v>
      </c>
      <c r="E28" s="1"/>
    </row>
    <row r="29" spans="1:5" ht="15" customHeight="1" x14ac:dyDescent="0.25">
      <c r="A29" s="1"/>
      <c r="B29" s="79" t="s">
        <v>70</v>
      </c>
      <c r="C29" s="9">
        <f>'Fane 11.2. Engangstillæg'!E11</f>
        <v>0</v>
      </c>
      <c r="D29" s="8" t="s">
        <v>3</v>
      </c>
      <c r="E29" s="1"/>
    </row>
    <row r="30" spans="1:5" ht="15" customHeight="1" x14ac:dyDescent="0.25">
      <c r="A30" s="1"/>
      <c r="B30" s="79" t="s">
        <v>244</v>
      </c>
      <c r="C30" s="9">
        <f>-C28*('Fane 15. Nøgletal'!C31+'Fane 5. Individuelt eff. krav'!G9)</f>
        <v>-7632.8446611799791</v>
      </c>
      <c r="D30" s="8" t="s">
        <v>3</v>
      </c>
      <c r="E30" s="1"/>
    </row>
    <row r="31" spans="1:5" ht="15" customHeight="1" x14ac:dyDescent="0.25">
      <c r="A31" s="1"/>
      <c r="B31" s="41" t="s">
        <v>245</v>
      </c>
      <c r="C31" s="9">
        <f>-C29*('Fane 15. Nøgletal'!C26+'Fane 5. Individuelt eff. krav'!G9)</f>
        <v>0</v>
      </c>
      <c r="D31" s="8" t="s">
        <v>3</v>
      </c>
      <c r="E31" s="1"/>
    </row>
    <row r="32" spans="1:5" x14ac:dyDescent="0.25">
      <c r="A32" s="1"/>
      <c r="B32" s="76" t="s">
        <v>75</v>
      </c>
      <c r="C32" s="10">
        <f>SUM(C28:C31)</f>
        <v>290144.15264698002</v>
      </c>
      <c r="D32" s="11" t="s">
        <v>3</v>
      </c>
      <c r="E32" s="1"/>
    </row>
    <row r="33" spans="1:5" x14ac:dyDescent="0.25">
      <c r="A33" s="1"/>
      <c r="B33" s="32" t="s">
        <v>194</v>
      </c>
      <c r="C33" s="33"/>
      <c r="D33" s="20"/>
      <c r="E33" s="1"/>
    </row>
    <row r="34" spans="1:5" x14ac:dyDescent="0.25">
      <c r="A34" s="1"/>
      <c r="B34" s="92" t="s">
        <v>194</v>
      </c>
      <c r="C34" s="10">
        <f>'Fane 9. Korrektion af ØR2021'!E17</f>
        <v>0</v>
      </c>
      <c r="D34" s="11" t="s">
        <v>3</v>
      </c>
      <c r="E34" s="1"/>
    </row>
    <row r="35" spans="1:5" x14ac:dyDescent="0.25">
      <c r="A35" s="1"/>
      <c r="B35" s="32" t="s">
        <v>131</v>
      </c>
      <c r="C35" s="33"/>
      <c r="D35" s="20"/>
      <c r="E35" s="1"/>
    </row>
    <row r="36" spans="1:5" x14ac:dyDescent="0.25">
      <c r="A36" s="1"/>
      <c r="B36" s="92" t="s">
        <v>190</v>
      </c>
      <c r="C36" s="10">
        <f>'Fane 7. Kontrol af ØR2021'!E30</f>
        <v>-128768.10555487126</v>
      </c>
      <c r="D36" s="11" t="s">
        <v>3</v>
      </c>
      <c r="E36" s="1"/>
    </row>
    <row r="37" spans="1:5" ht="26.25" customHeight="1" x14ac:dyDescent="0.25">
      <c r="A37" s="1"/>
      <c r="B37" s="117" t="s">
        <v>178</v>
      </c>
      <c r="C37" s="118"/>
      <c r="D37" s="119"/>
      <c r="E37" s="1"/>
    </row>
    <row r="38" spans="1:5" x14ac:dyDescent="0.25">
      <c r="A38" s="1"/>
      <c r="B38" s="89" t="s">
        <v>179</v>
      </c>
      <c r="C38" s="10">
        <f>'Fane 8. Skattesagen'!G12</f>
        <v>0</v>
      </c>
      <c r="D38" s="11" t="s">
        <v>3</v>
      </c>
      <c r="E38" s="1"/>
    </row>
    <row r="39" spans="1:5" x14ac:dyDescent="0.25">
      <c r="A39" s="1"/>
      <c r="B39" s="32" t="s">
        <v>78</v>
      </c>
      <c r="C39" s="12">
        <f>SUM(C22,C24,C26,C32,C34,C36,C38)</f>
        <v>84920903.496406764</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99g8RvHsFMF6uYrdreJ6AmFyQ7qkkQjdIXCbiMjhqMxm4nnWheV56HHzBv3ewklvw1+A+6+H3ZXWaf+fT4txfA==" saltValue="HTabKbHBqZO9BKcjkgxV2g=="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1" t="s">
        <v>263</v>
      </c>
      <c r="C3" s="121"/>
      <c r="D3" s="1"/>
    </row>
    <row r="4" spans="1:4" ht="25.5" customHeight="1" x14ac:dyDescent="0.25">
      <c r="A4" s="1"/>
      <c r="B4" s="121"/>
      <c r="C4" s="12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2" t="s">
        <v>180</v>
      </c>
      <c r="C9" s="26">
        <v>1.2699999999999999E-2</v>
      </c>
      <c r="D9" s="1"/>
    </row>
    <row r="10" spans="1:4" x14ac:dyDescent="0.25">
      <c r="A10" s="1"/>
      <c r="B10" s="82" t="s">
        <v>100</v>
      </c>
      <c r="C10" s="26">
        <v>1.7500000000000002E-2</v>
      </c>
      <c r="D10" s="1"/>
    </row>
    <row r="11" spans="1:4" x14ac:dyDescent="0.25">
      <c r="A11" s="1"/>
      <c r="B11" s="8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2" t="s">
        <v>181</v>
      </c>
      <c r="C20" s="23">
        <v>9.1000000000000004E-3</v>
      </c>
      <c r="D20" s="1"/>
    </row>
    <row r="21" spans="1:4" x14ac:dyDescent="0.25">
      <c r="A21" s="1"/>
      <c r="B21" s="82" t="s">
        <v>102</v>
      </c>
      <c r="C21" s="23">
        <v>1.77E-2</v>
      </c>
      <c r="D21" s="1"/>
    </row>
    <row r="22" spans="1:4" x14ac:dyDescent="0.25">
      <c r="A22" s="1"/>
      <c r="B22" s="82" t="s">
        <v>101</v>
      </c>
      <c r="C22" s="23">
        <v>8.6999999999999994E-3</v>
      </c>
      <c r="D22" s="1"/>
    </row>
    <row r="23" spans="1:4" x14ac:dyDescent="0.25">
      <c r="A23" s="1"/>
      <c r="B23" s="82" t="s">
        <v>103</v>
      </c>
      <c r="C23" s="23">
        <v>2.8400000000000002E-2</v>
      </c>
      <c r="D23" s="1"/>
    </row>
    <row r="24" spans="1:4" x14ac:dyDescent="0.25">
      <c r="A24" s="1"/>
      <c r="B24" s="82" t="s">
        <v>122</v>
      </c>
      <c r="C24" s="30">
        <v>2.75E-2</v>
      </c>
      <c r="D24" s="1"/>
    </row>
    <row r="25" spans="1:4" x14ac:dyDescent="0.25">
      <c r="A25" s="1"/>
      <c r="B25" s="82" t="s">
        <v>149</v>
      </c>
      <c r="C25" s="30">
        <v>1.4800000000000001E-2</v>
      </c>
      <c r="D25" s="1"/>
    </row>
    <row r="26" spans="1:4" x14ac:dyDescent="0.25">
      <c r="A26" s="1"/>
      <c r="B26" s="8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uHTcGN8VklMCXRqMk6oTRm9+elC98WTiVrAx5pDL2rL5OG2Oh0KYuXBeV0FWhUhWe71nsxLEwvjNSiOETLG14g==" saltValue="i9gujlL0bGbxGjwgNvY4G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8.28515625" style="2" customWidth="1"/>
    <col min="2" max="2" width="42.42578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196</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95" t="s">
        <v>115</v>
      </c>
      <c r="C9" s="7">
        <f>'Fane 2.1. Økonomisk ramme 2023'!C22</f>
        <v>83699081.375952914</v>
      </c>
      <c r="D9" s="8" t="s">
        <v>3</v>
      </c>
      <c r="E9" s="1"/>
    </row>
    <row r="10" spans="1:5" ht="15" customHeight="1" x14ac:dyDescent="0.25">
      <c r="A10" s="1"/>
      <c r="B10" s="96" t="s">
        <v>19</v>
      </c>
      <c r="C10" s="7">
        <f>SUM(C9:C9)*'Fane 15. Nøgletal'!C15</f>
        <v>2979687.2969839238</v>
      </c>
      <c r="D10" s="8" t="s">
        <v>3</v>
      </c>
      <c r="E10" s="1"/>
    </row>
    <row r="11" spans="1:5" ht="15" customHeight="1" x14ac:dyDescent="0.25">
      <c r="A11" s="1"/>
      <c r="B11" s="96" t="s">
        <v>10</v>
      </c>
      <c r="C11" s="9">
        <f>-SUM(C9:C10)*'Fane 5. Individuelt eff. krav'!G9</f>
        <v>-488240.22238530917</v>
      </c>
      <c r="D11" s="8" t="s">
        <v>3</v>
      </c>
      <c r="E11" s="1"/>
    </row>
    <row r="12" spans="1:5" ht="15" customHeight="1" x14ac:dyDescent="0.25">
      <c r="A12" s="1"/>
      <c r="B12" s="96" t="s">
        <v>25</v>
      </c>
      <c r="C12" s="9">
        <f>-'Fane 4.1. Gen. krav - drift'!G54</f>
        <v>-618727.21876466949</v>
      </c>
      <c r="D12" s="8" t="s">
        <v>3</v>
      </c>
      <c r="E12" s="1"/>
    </row>
    <row r="13" spans="1:5" ht="15" customHeight="1" x14ac:dyDescent="0.25">
      <c r="A13" s="1"/>
      <c r="B13" s="96" t="s">
        <v>26</v>
      </c>
      <c r="C13" s="9">
        <f>-'Fane 4.2. Gen. krav - anlæg'!G52</f>
        <v>0</v>
      </c>
      <c r="D13" s="8" t="s">
        <v>3</v>
      </c>
      <c r="E13" s="1"/>
    </row>
    <row r="14" spans="1:5" ht="15" customHeight="1" x14ac:dyDescent="0.25">
      <c r="A14" s="1"/>
      <c r="B14" s="35" t="s">
        <v>21</v>
      </c>
      <c r="C14" s="10">
        <f>SUM(C9:C13)</f>
        <v>85571801.231786877</v>
      </c>
      <c r="D14" s="11" t="s">
        <v>3</v>
      </c>
      <c r="E14" s="1"/>
    </row>
    <row r="15" spans="1:5" ht="15" customHeight="1" x14ac:dyDescent="0.25">
      <c r="A15" s="1"/>
      <c r="B15" s="32" t="s">
        <v>12</v>
      </c>
      <c r="C15" s="33"/>
      <c r="D15" s="20"/>
      <c r="E15" s="1"/>
    </row>
    <row r="16" spans="1:5" ht="15" customHeight="1" x14ac:dyDescent="0.25">
      <c r="A16" s="1"/>
      <c r="B16" s="92" t="s">
        <v>12</v>
      </c>
      <c r="C16" s="10">
        <f>'Fane 6. Ikke-påvirkelige omk.'!C16*(1+'Fane 15. Nøgletal'!C15)+'Fane 6. Ikke-påvirkelige omk.'!C21+'Fane 6. Ikke-påvirkelige omk.'!C29</f>
        <v>1098197.9535734388</v>
      </c>
      <c r="D16" s="11" t="s">
        <v>3</v>
      </c>
      <c r="E16" s="1"/>
    </row>
    <row r="17" spans="1:5" ht="15" customHeight="1" x14ac:dyDescent="0.25">
      <c r="A17" s="1"/>
      <c r="B17" s="32" t="s">
        <v>74</v>
      </c>
      <c r="C17" s="33"/>
      <c r="D17" s="20"/>
      <c r="E17" s="1"/>
    </row>
    <row r="18" spans="1:5" ht="15" customHeight="1" x14ac:dyDescent="0.25">
      <c r="A18" s="1"/>
      <c r="B18" s="76"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2" t="s">
        <v>190</v>
      </c>
      <c r="C20" s="10">
        <f>'Fane 7. Kontrol af ØR2021'!E36</f>
        <v>-1643388.4092278853</v>
      </c>
      <c r="D20" s="11" t="s">
        <v>3</v>
      </c>
      <c r="E20" s="1"/>
    </row>
    <row r="21" spans="1:5" x14ac:dyDescent="0.25">
      <c r="A21" s="1"/>
      <c r="B21" s="34" t="s">
        <v>178</v>
      </c>
      <c r="C21" s="33"/>
      <c r="D21" s="20"/>
      <c r="E21" s="1"/>
    </row>
    <row r="22" spans="1:5" x14ac:dyDescent="0.25">
      <c r="A22" s="1"/>
      <c r="B22" s="89" t="s">
        <v>179</v>
      </c>
      <c r="C22" s="10">
        <f>'Fane 8. Skattesagen'!G13</f>
        <v>0</v>
      </c>
      <c r="D22" s="11" t="s">
        <v>3</v>
      </c>
      <c r="E22" s="1"/>
    </row>
    <row r="23" spans="1:5" ht="15" customHeight="1" x14ac:dyDescent="0.25">
      <c r="A23" s="1"/>
      <c r="B23" s="32" t="s">
        <v>116</v>
      </c>
      <c r="C23" s="12">
        <f>SUM(C14,C16,C18,C20,C22)</f>
        <v>85026610.776132435</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row>
  </sheetData>
  <sheetProtection algorithmName="SHA-512" hashValue="Xhoh2I58YHdxvs+RqF5+Ef1DXwkGGxd5G6HxPKkBrAVJql/fiQAXsYM4IPiLefMAg7+4ZzJyXp7gSEeYoftAqg==" saltValue="v8kTk50K3IC6Fa50CJiJs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197</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2" t="s">
        <v>13</v>
      </c>
      <c r="C7" s="33"/>
      <c r="D7" s="20"/>
      <c r="E7" s="1"/>
    </row>
    <row r="8" spans="1:5" ht="15" customHeight="1" x14ac:dyDescent="0.25">
      <c r="A8" s="1"/>
      <c r="B8" s="81" t="s">
        <v>137</v>
      </c>
      <c r="C8" s="7">
        <f>'Fane 2.2. Økonomisk ramme 2024'!C14</f>
        <v>85571801.231786877</v>
      </c>
      <c r="D8" s="8" t="s">
        <v>3</v>
      </c>
      <c r="E8" s="1"/>
    </row>
    <row r="9" spans="1:5" ht="15" customHeight="1" x14ac:dyDescent="0.25">
      <c r="A9" s="1"/>
      <c r="B9" s="75" t="s">
        <v>19</v>
      </c>
      <c r="C9" s="44">
        <f>SUM(C8:C8)*'Fane 15. Nøgletal'!C15</f>
        <v>3046356.1238516127</v>
      </c>
      <c r="D9" s="8" t="s">
        <v>3</v>
      </c>
      <c r="E9" s="1"/>
    </row>
    <row r="10" spans="1:5" ht="15" customHeight="1" x14ac:dyDescent="0.25">
      <c r="A10" s="1"/>
      <c r="B10" s="75" t="s">
        <v>10</v>
      </c>
      <c r="C10" s="9">
        <f>-SUM(C8:C9)*'Fane 5. Individuelt eff. krav'!G9</f>
        <v>-499164.3226722742</v>
      </c>
      <c r="D10" s="8" t="s">
        <v>3</v>
      </c>
      <c r="E10" s="1"/>
    </row>
    <row r="11" spans="1:5" ht="15" customHeight="1" x14ac:dyDescent="0.25">
      <c r="A11" s="1"/>
      <c r="B11" s="75" t="s">
        <v>25</v>
      </c>
      <c r="C11" s="9">
        <f>-'Fane 4.1. Gen. krav - drift'!G59</f>
        <v>-627938.82959763787</v>
      </c>
      <c r="D11" s="8" t="s">
        <v>3</v>
      </c>
      <c r="E11" s="1"/>
    </row>
    <row r="12" spans="1:5" ht="15" customHeight="1" x14ac:dyDescent="0.25">
      <c r="A12" s="1"/>
      <c r="B12" s="75" t="s">
        <v>26</v>
      </c>
      <c r="C12" s="9">
        <f>-'Fane 4.2. Gen. krav - anlæg'!G57</f>
        <v>0</v>
      </c>
      <c r="D12" s="8" t="s">
        <v>3</v>
      </c>
      <c r="E12" s="1"/>
    </row>
    <row r="13" spans="1:5" ht="15.75" customHeight="1" x14ac:dyDescent="0.25">
      <c r="A13" s="1"/>
      <c r="B13" s="35" t="s">
        <v>21</v>
      </c>
      <c r="C13" s="10">
        <f>SUM(C8:C12)</f>
        <v>87491054.203368574</v>
      </c>
      <c r="D13" s="11" t="s">
        <v>3</v>
      </c>
      <c r="E13" s="1"/>
    </row>
    <row r="14" spans="1:5" x14ac:dyDescent="0.25">
      <c r="A14" s="1"/>
      <c r="B14" s="32" t="s">
        <v>12</v>
      </c>
      <c r="C14" s="33"/>
      <c r="D14" s="20"/>
      <c r="E14" s="1"/>
    </row>
    <row r="15" spans="1:5" ht="15" customHeight="1" x14ac:dyDescent="0.25">
      <c r="A15" s="1"/>
      <c r="B15" s="92" t="s">
        <v>12</v>
      </c>
      <c r="C15" s="10">
        <f>'Fane 6. Ikke-påvirkelige omk.'!C16*(1+'Fane 15. Nøgletal'!C15)^2+'Fane 6. Ikke-påvirkelige omk.'!C22+'Fane 6. Ikke-påvirkelige omk.'!C30</f>
        <v>1137293.8007206533</v>
      </c>
      <c r="D15" s="11" t="s">
        <v>3</v>
      </c>
      <c r="E15" s="1"/>
    </row>
    <row r="16" spans="1:5" ht="15" customHeight="1" x14ac:dyDescent="0.25">
      <c r="A16" s="1"/>
      <c r="B16" s="32" t="s">
        <v>74</v>
      </c>
      <c r="C16" s="33"/>
      <c r="D16" s="20"/>
      <c r="E16" s="1"/>
    </row>
    <row r="17" spans="1:5" ht="15" customHeight="1" x14ac:dyDescent="0.25">
      <c r="A17" s="1"/>
      <c r="B17" s="76"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2" t="s">
        <v>190</v>
      </c>
      <c r="C19" s="10">
        <f>'Fane 7. Kontrol af ØR2021'!E36</f>
        <v>-1643388.4092278853</v>
      </c>
      <c r="D19" s="11" t="s">
        <v>3</v>
      </c>
      <c r="E19" s="1"/>
    </row>
    <row r="20" spans="1:5" x14ac:dyDescent="0.25">
      <c r="A20" s="1"/>
      <c r="B20" s="34" t="s">
        <v>178</v>
      </c>
      <c r="C20" s="33"/>
      <c r="D20" s="20"/>
      <c r="E20" s="1"/>
    </row>
    <row r="21" spans="1:5" x14ac:dyDescent="0.25">
      <c r="A21" s="1"/>
      <c r="B21" s="89" t="s">
        <v>179</v>
      </c>
      <c r="C21" s="10">
        <f>'Fane 8. Skattesagen'!G14</f>
        <v>0</v>
      </c>
      <c r="D21" s="11" t="s">
        <v>3</v>
      </c>
      <c r="E21" s="1"/>
    </row>
    <row r="22" spans="1:5" x14ac:dyDescent="0.25">
      <c r="A22" s="1"/>
      <c r="B22" s="32" t="s">
        <v>138</v>
      </c>
      <c r="C22" s="12">
        <f>SUM(C13,C15,C17,C19,C21)</f>
        <v>86984959.594861329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FjCwJDHTxHcuvURoSMSqvDevp3VOE0OWtSIQoHdKMclleOeQwHOf3KZXFSHnb8pvWQQSGeaC/qKH7pt7f/l/Tw==" saltValue="eRPW0XHs7EPZemvLHZW+Q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6" t="s">
        <v>198</v>
      </c>
      <c r="C3" s="116"/>
      <c r="D3" s="116"/>
      <c r="E3" s="1"/>
    </row>
    <row r="4" spans="1:5" ht="15" customHeight="1" x14ac:dyDescent="0.25">
      <c r="A4" s="1"/>
      <c r="B4" s="116"/>
      <c r="C4" s="116"/>
      <c r="D4" s="116"/>
      <c r="E4" s="1"/>
    </row>
    <row r="5" spans="1:5" x14ac:dyDescent="0.25">
      <c r="A5" s="1"/>
      <c r="B5" s="120" t="s">
        <v>22</v>
      </c>
      <c r="C5" s="120"/>
      <c r="D5" s="120"/>
      <c r="E5" s="1"/>
    </row>
    <row r="6" spans="1:5" x14ac:dyDescent="0.25">
      <c r="A6" s="1"/>
      <c r="B6" s="1"/>
      <c r="C6" s="1"/>
      <c r="D6" s="1"/>
      <c r="E6" s="1"/>
    </row>
    <row r="7" spans="1:5" x14ac:dyDescent="0.25">
      <c r="A7" s="1"/>
      <c r="B7" s="32" t="s">
        <v>13</v>
      </c>
      <c r="C7" s="33"/>
      <c r="D7" s="20"/>
      <c r="E7" s="1"/>
    </row>
    <row r="8" spans="1:5" ht="15" customHeight="1" x14ac:dyDescent="0.25">
      <c r="A8" s="1"/>
      <c r="B8" s="81" t="s">
        <v>199</v>
      </c>
      <c r="C8" s="7">
        <f>'Fane 2.3. Økonomisk ramme 2025'!C13</f>
        <v>87491054.203368574</v>
      </c>
      <c r="D8" s="8" t="s">
        <v>3</v>
      </c>
      <c r="E8" s="1"/>
    </row>
    <row r="9" spans="1:5" ht="15" customHeight="1" x14ac:dyDescent="0.25">
      <c r="A9" s="1"/>
      <c r="B9" s="75" t="s">
        <v>19</v>
      </c>
      <c r="C9" s="44">
        <f>SUM(C8:C8)*'Fane 15. Nøgletal'!C15</f>
        <v>3114681.5296399212</v>
      </c>
      <c r="D9" s="8" t="s">
        <v>3</v>
      </c>
      <c r="E9" s="1"/>
    </row>
    <row r="10" spans="1:5" ht="15" customHeight="1" x14ac:dyDescent="0.25">
      <c r="A10" s="1"/>
      <c r="B10" s="75" t="s">
        <v>10</v>
      </c>
      <c r="C10" s="9">
        <f>-SUM(C8:C9)*'Fane 5. Individuelt eff. krav'!G9</f>
        <v>-510359.86367767322</v>
      </c>
      <c r="D10" s="8" t="s">
        <v>3</v>
      </c>
      <c r="E10" s="1"/>
    </row>
    <row r="11" spans="1:5" ht="15" customHeight="1" x14ac:dyDescent="0.25">
      <c r="A11" s="1"/>
      <c r="B11" s="75" t="s">
        <v>25</v>
      </c>
      <c r="C11" s="9">
        <f>-'Fane 4.1. Gen. krav - drift'!G64</f>
        <v>-637287.58289268753</v>
      </c>
      <c r="D11" s="8" t="s">
        <v>3</v>
      </c>
      <c r="E11" s="1"/>
    </row>
    <row r="12" spans="1:5" ht="15" customHeight="1" x14ac:dyDescent="0.25">
      <c r="A12" s="1"/>
      <c r="B12" s="75" t="s">
        <v>26</v>
      </c>
      <c r="C12" s="9">
        <f>-'Fane 4.2. Gen. krav - anlæg'!G62</f>
        <v>0</v>
      </c>
      <c r="D12" s="8" t="s">
        <v>3</v>
      </c>
      <c r="E12" s="1"/>
    </row>
    <row r="13" spans="1:5" ht="15.75" customHeight="1" x14ac:dyDescent="0.25">
      <c r="A13" s="1"/>
      <c r="B13" s="35" t="s">
        <v>21</v>
      </c>
      <c r="C13" s="10">
        <f>SUM(C8:C12)</f>
        <v>89458088.286438122</v>
      </c>
      <c r="D13" s="11" t="s">
        <v>3</v>
      </c>
      <c r="E13" s="1"/>
    </row>
    <row r="14" spans="1:5" x14ac:dyDescent="0.25">
      <c r="A14" s="1"/>
      <c r="B14" s="32" t="s">
        <v>12</v>
      </c>
      <c r="C14" s="33"/>
      <c r="D14" s="20"/>
      <c r="E14" s="1"/>
    </row>
    <row r="15" spans="1:5" ht="15" customHeight="1" x14ac:dyDescent="0.25">
      <c r="A15" s="1"/>
      <c r="B15" s="92" t="s">
        <v>12</v>
      </c>
      <c r="C15" s="10">
        <f>'Fane 6. Ikke-påvirkelige omk.'!C16*(1+'Fane 15. Nøgletal'!C15)^3+'Fane 6. Ikke-påvirkelige omk.'!C23+'Fane 6. Ikke-påvirkelige omk.'!C31</f>
        <v>1177781.4600263084</v>
      </c>
      <c r="D15" s="11" t="s">
        <v>3</v>
      </c>
      <c r="E15" s="1"/>
    </row>
    <row r="16" spans="1:5" ht="15" customHeight="1" x14ac:dyDescent="0.25">
      <c r="A16" s="1"/>
      <c r="B16" s="32" t="s">
        <v>74</v>
      </c>
      <c r="C16" s="33"/>
      <c r="D16" s="20"/>
      <c r="E16" s="1"/>
    </row>
    <row r="17" spans="1:5" ht="15" customHeight="1" x14ac:dyDescent="0.25">
      <c r="A17" s="1"/>
      <c r="B17" s="76"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2" t="s">
        <v>190</v>
      </c>
      <c r="C19" s="10">
        <f>'Fane 7. Kontrol af ØR2021'!E36</f>
        <v>-1643388.4092278853</v>
      </c>
      <c r="D19" s="11" t="s">
        <v>3</v>
      </c>
      <c r="E19" s="1"/>
    </row>
    <row r="20" spans="1:5" ht="15" customHeight="1" x14ac:dyDescent="0.25">
      <c r="A20" s="1"/>
      <c r="B20" s="34" t="s">
        <v>178</v>
      </c>
      <c r="C20" s="33"/>
      <c r="D20" s="20"/>
      <c r="E20" s="1"/>
    </row>
    <row r="21" spans="1:5" ht="15" customHeight="1" x14ac:dyDescent="0.25">
      <c r="A21" s="1"/>
      <c r="B21" s="89" t="s">
        <v>179</v>
      </c>
      <c r="C21" s="10">
        <f>'Fane 8. Skattesagen'!G15</f>
        <v>0</v>
      </c>
      <c r="D21" s="11" t="s">
        <v>3</v>
      </c>
      <c r="E21" s="1"/>
    </row>
    <row r="22" spans="1:5" ht="15" customHeight="1" x14ac:dyDescent="0.25">
      <c r="A22" s="1"/>
      <c r="B22" s="32" t="s">
        <v>200</v>
      </c>
      <c r="C22" s="12">
        <f>SUM(C13,C15,C17,C19,C21)</f>
        <v>88992481.337236553</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CmI3FP28WcAwU8FnO0CbXCTpxGkNBBv+GEEsfqt3OxjmyJmynZ9Z7YmIWZxqsOnaz3SJlZjEc4KrV0KNPjfkXQ==" saltValue="UKZd8vDlVymSJLqPwYbFe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201</v>
      </c>
      <c r="C3" s="121"/>
      <c r="D3" s="121"/>
      <c r="E3" s="121"/>
      <c r="F3" s="121"/>
      <c r="G3" s="1"/>
    </row>
    <row r="4" spans="1:7" ht="29.2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2" t="s">
        <v>24</v>
      </c>
      <c r="C9" s="123"/>
      <c r="D9" s="124"/>
      <c r="E9" s="60">
        <v>85258169.817074537</v>
      </c>
      <c r="F9" s="8" t="s">
        <v>3</v>
      </c>
      <c r="G9" s="1"/>
    </row>
    <row r="10" spans="1:7" ht="14.25" customHeight="1" x14ac:dyDescent="0.25">
      <c r="A10" s="1"/>
      <c r="B10" s="128" t="s">
        <v>39</v>
      </c>
      <c r="C10" s="129"/>
      <c r="D10" s="130"/>
      <c r="E10" s="60">
        <v>380191.50530000002</v>
      </c>
      <c r="F10" s="8" t="s">
        <v>3</v>
      </c>
      <c r="G10" s="1"/>
    </row>
    <row r="11" spans="1:7" ht="14.25" customHeight="1" x14ac:dyDescent="0.25">
      <c r="A11" s="1"/>
      <c r="B11" s="128" t="s">
        <v>40</v>
      </c>
      <c r="C11" s="129"/>
      <c r="D11" s="130"/>
      <c r="E11" s="60">
        <v>475219.06480000005</v>
      </c>
      <c r="F11" s="8" t="s">
        <v>3</v>
      </c>
      <c r="G11" s="1"/>
    </row>
    <row r="12" spans="1:7" x14ac:dyDescent="0.25">
      <c r="A12" s="1"/>
      <c r="B12" s="125" t="s">
        <v>28</v>
      </c>
      <c r="C12" s="126"/>
      <c r="D12" s="127"/>
      <c r="E12" s="61">
        <v>0</v>
      </c>
      <c r="F12" s="8" t="s">
        <v>3</v>
      </c>
      <c r="G12" s="1"/>
    </row>
    <row r="13" spans="1:7" ht="15" customHeight="1" x14ac:dyDescent="0.25">
      <c r="A13" s="1"/>
      <c r="B13" s="125" t="s">
        <v>27</v>
      </c>
      <c r="C13" s="126"/>
      <c r="D13" s="127"/>
      <c r="E13" s="61">
        <v>0</v>
      </c>
      <c r="F13" s="8" t="s">
        <v>3</v>
      </c>
      <c r="G13" s="1"/>
    </row>
    <row r="14" spans="1:7" x14ac:dyDescent="0.25">
      <c r="A14" s="1"/>
      <c r="B14" s="125" t="s">
        <v>113</v>
      </c>
      <c r="C14" s="126"/>
      <c r="D14" s="127"/>
      <c r="E14" s="61">
        <v>0</v>
      </c>
      <c r="F14" s="8" t="s">
        <v>3</v>
      </c>
      <c r="G14" s="1"/>
    </row>
    <row r="15" spans="1:7" x14ac:dyDescent="0.25">
      <c r="A15" s="1"/>
      <c r="B15" s="125" t="s">
        <v>114</v>
      </c>
      <c r="C15" s="126"/>
      <c r="D15" s="127"/>
      <c r="E15" s="61">
        <v>0</v>
      </c>
      <c r="F15" s="8" t="s">
        <v>3</v>
      </c>
      <c r="G15" s="1"/>
    </row>
    <row r="16" spans="1:7" x14ac:dyDescent="0.25">
      <c r="A16" s="1"/>
      <c r="B16" s="125" t="s">
        <v>19</v>
      </c>
      <c r="C16" s="126"/>
      <c r="D16" s="127"/>
      <c r="E16" s="61">
        <f>SUM(E9:E15)*'Fane 15. Nøgletal'!C14</f>
        <v>284174.81527767598</v>
      </c>
      <c r="F16" s="8" t="s">
        <v>3</v>
      </c>
      <c r="G16" s="1"/>
    </row>
    <row r="17" spans="1:7" x14ac:dyDescent="0.25">
      <c r="A17" s="1"/>
      <c r="B17" s="125" t="s">
        <v>10</v>
      </c>
      <c r="C17" s="126"/>
      <c r="D17" s="127"/>
      <c r="E17" s="61">
        <v>-486657.34250107378</v>
      </c>
      <c r="F17" s="8" t="s">
        <v>3</v>
      </c>
      <c r="G17" s="1"/>
    </row>
    <row r="18" spans="1:7" x14ac:dyDescent="0.25">
      <c r="A18" s="1"/>
      <c r="B18" s="125" t="s">
        <v>25</v>
      </c>
      <c r="C18" s="126"/>
      <c r="D18" s="127"/>
      <c r="E18" s="61">
        <f>-'Fane 4.1. Gen. krav - drift'!G42</f>
        <v>-609340.89537579892</v>
      </c>
      <c r="F18" s="8" t="s">
        <v>3</v>
      </c>
      <c r="G18" s="1"/>
    </row>
    <row r="19" spans="1:7" x14ac:dyDescent="0.25">
      <c r="A19" s="1"/>
      <c r="B19" s="125" t="s">
        <v>26</v>
      </c>
      <c r="C19" s="126"/>
      <c r="D19" s="127"/>
      <c r="E19" s="61">
        <f>-'Fane 4.2. Gen. krav - anlæg'!G41</f>
        <v>-827774.51441820175</v>
      </c>
      <c r="F19" s="8" t="s">
        <v>3</v>
      </c>
      <c r="G19" s="1"/>
    </row>
    <row r="20" spans="1:7" x14ac:dyDescent="0.25">
      <c r="A20" s="1"/>
      <c r="B20" s="137" t="s">
        <v>21</v>
      </c>
      <c r="C20" s="138"/>
      <c r="D20" s="139"/>
      <c r="E20" s="62">
        <f>SUM(E9:E19)</f>
        <v>84473982.450157136</v>
      </c>
      <c r="F20" s="45" t="s">
        <v>3</v>
      </c>
      <c r="G20" s="1"/>
    </row>
    <row r="21" spans="1:7" x14ac:dyDescent="0.25">
      <c r="A21" s="1"/>
      <c r="B21" s="32" t="s">
        <v>12</v>
      </c>
      <c r="C21" s="33"/>
      <c r="D21" s="33"/>
      <c r="E21" s="63"/>
      <c r="F21" s="20"/>
      <c r="G21" s="1"/>
    </row>
    <row r="22" spans="1:7" ht="14.25" customHeight="1" x14ac:dyDescent="0.25">
      <c r="A22" s="1"/>
      <c r="B22" s="134" t="s">
        <v>12</v>
      </c>
      <c r="C22" s="135"/>
      <c r="D22" s="136"/>
      <c r="E22" s="64">
        <v>1027273.5917390302</v>
      </c>
      <c r="F22" s="10" t="s">
        <v>3</v>
      </c>
      <c r="G22" s="1"/>
    </row>
    <row r="23" spans="1:7" ht="14.25" customHeight="1" x14ac:dyDescent="0.25">
      <c r="A23" s="1"/>
      <c r="B23" s="32" t="s">
        <v>74</v>
      </c>
      <c r="C23" s="33"/>
      <c r="D23" s="33"/>
      <c r="E23" s="63"/>
      <c r="F23" s="20"/>
      <c r="G23" s="1"/>
    </row>
    <row r="24" spans="1:7" x14ac:dyDescent="0.25">
      <c r="A24" s="1"/>
      <c r="B24" s="140" t="s">
        <v>74</v>
      </c>
      <c r="C24" s="141"/>
      <c r="D24" s="142"/>
      <c r="E24" s="64">
        <v>0</v>
      </c>
      <c r="F24" s="10" t="s">
        <v>3</v>
      </c>
      <c r="G24" s="1"/>
    </row>
    <row r="25" spans="1:7" x14ac:dyDescent="0.25">
      <c r="A25" s="1"/>
      <c r="B25" s="32" t="s">
        <v>73</v>
      </c>
      <c r="C25" s="33"/>
      <c r="D25" s="33"/>
      <c r="E25" s="63"/>
      <c r="F25" s="20"/>
      <c r="G25" s="1"/>
    </row>
    <row r="26" spans="1:7" ht="15.4" customHeight="1" x14ac:dyDescent="0.25">
      <c r="A26" s="1"/>
      <c r="B26" s="128" t="s">
        <v>69</v>
      </c>
      <c r="C26" s="129"/>
      <c r="D26" s="130"/>
      <c r="E26" s="65">
        <v>0</v>
      </c>
      <c r="F26" s="8" t="s">
        <v>3</v>
      </c>
      <c r="G26" s="1"/>
    </row>
    <row r="27" spans="1:7" ht="15.75" customHeight="1" x14ac:dyDescent="0.25">
      <c r="A27" s="1"/>
      <c r="B27" s="128" t="s">
        <v>70</v>
      </c>
      <c r="C27" s="129"/>
      <c r="D27" s="130"/>
      <c r="E27" s="65">
        <v>0</v>
      </c>
      <c r="F27" s="8" t="s">
        <v>3</v>
      </c>
      <c r="G27" s="1"/>
    </row>
    <row r="28" spans="1:7" x14ac:dyDescent="0.25">
      <c r="A28" s="1"/>
      <c r="B28" s="76" t="s">
        <v>75</v>
      </c>
      <c r="C28" s="36"/>
      <c r="D28" s="37"/>
      <c r="E28" s="64">
        <v>0</v>
      </c>
      <c r="F28" s="11" t="s">
        <v>3</v>
      </c>
      <c r="G28" s="1"/>
    </row>
    <row r="29" spans="1:7" x14ac:dyDescent="0.25">
      <c r="A29" s="1"/>
      <c r="B29" s="32" t="s">
        <v>136</v>
      </c>
      <c r="C29" s="33"/>
      <c r="D29" s="33"/>
      <c r="E29" s="63"/>
      <c r="F29" s="20"/>
      <c r="G29" s="1"/>
    </row>
    <row r="30" spans="1:7" ht="15" customHeight="1" x14ac:dyDescent="0.25">
      <c r="A30" s="1"/>
      <c r="B30" s="134" t="s">
        <v>136</v>
      </c>
      <c r="C30" s="135"/>
      <c r="D30" s="136"/>
      <c r="E30" s="64">
        <v>0</v>
      </c>
      <c r="F30" s="11" t="s">
        <v>3</v>
      </c>
      <c r="G30" s="1"/>
    </row>
    <row r="31" spans="1:7" ht="15" customHeight="1" x14ac:dyDescent="0.25">
      <c r="A31" s="1"/>
      <c r="B31" s="32" t="s">
        <v>131</v>
      </c>
      <c r="C31" s="32"/>
      <c r="D31" s="32"/>
      <c r="E31" s="63"/>
      <c r="F31" s="20"/>
      <c r="G31" s="1"/>
    </row>
    <row r="32" spans="1:7" ht="15" customHeight="1" x14ac:dyDescent="0.25">
      <c r="A32" s="1"/>
      <c r="B32" s="134" t="s">
        <v>190</v>
      </c>
      <c r="C32" s="135"/>
      <c r="D32" s="136"/>
      <c r="E32" s="64">
        <v>-128768.10555487126</v>
      </c>
      <c r="F32" s="11" t="s">
        <v>3</v>
      </c>
      <c r="G32" s="1"/>
    </row>
    <row r="33" spans="1:7" ht="15" customHeight="1" x14ac:dyDescent="0.25">
      <c r="A33" s="1"/>
      <c r="B33" s="34" t="s">
        <v>178</v>
      </c>
      <c r="C33" s="34"/>
      <c r="D33" s="34"/>
      <c r="E33" s="63"/>
      <c r="F33" s="20"/>
      <c r="G33" s="1"/>
    </row>
    <row r="34" spans="1:7" ht="15" customHeight="1" x14ac:dyDescent="0.25">
      <c r="A34" s="1"/>
      <c r="B34" s="89" t="s">
        <v>179</v>
      </c>
      <c r="C34" s="89"/>
      <c r="D34" s="89"/>
      <c r="E34" s="64">
        <f>'Fane 8. Skattesagen'!G11</f>
        <v>0</v>
      </c>
      <c r="F34" s="11" t="s">
        <v>3</v>
      </c>
      <c r="G34" s="1"/>
    </row>
    <row r="35" spans="1:7" x14ac:dyDescent="0.25">
      <c r="A35" s="1"/>
      <c r="B35" s="32" t="s">
        <v>29</v>
      </c>
      <c r="C35" s="33"/>
      <c r="D35" s="33"/>
      <c r="E35" s="97">
        <f>E20+E22+E24+E28+E30+E32+E34</f>
        <v>85372487.936341286</v>
      </c>
      <c r="F35" s="13" t="s">
        <v>3</v>
      </c>
      <c r="G35" s="1"/>
    </row>
    <row r="36" spans="1:7" ht="27" customHeight="1" x14ac:dyDescent="0.25">
      <c r="A36" s="1"/>
      <c r="B36" s="131" t="s">
        <v>203</v>
      </c>
      <c r="C36" s="132"/>
      <c r="D36" s="132"/>
      <c r="E36" s="132"/>
      <c r="F36" s="13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ZLz+wx4IABxYzO/UXeSDtlTZOVnEcl3iwitF1ex1dh3NWMm6Z+8mK+IQR9l7F+XmJu7j1wZ97J/f6l0C2RfNGg==" saltValue="Xh3jJ3SGUKGZp1yn7TNFxw=="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58" customWidth="1"/>
    <col min="8" max="8" width="4.42578125" style="2" customWidth="1"/>
    <col min="9" max="9" width="6.7109375" style="2" customWidth="1"/>
    <col min="10" max="16384" width="9" style="2"/>
  </cols>
  <sheetData>
    <row r="1" spans="1:9" ht="15" customHeight="1" x14ac:dyDescent="0.25">
      <c r="A1" s="1"/>
      <c r="B1" s="121" t="s">
        <v>99</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49" t="s">
        <v>154</v>
      </c>
      <c r="C4" s="150"/>
      <c r="D4" s="150"/>
      <c r="E4" s="150"/>
      <c r="F4" s="150"/>
      <c r="G4" s="150"/>
      <c r="H4" s="152"/>
      <c r="I4" s="1"/>
    </row>
    <row r="5" spans="1:9" x14ac:dyDescent="0.25">
      <c r="A5" s="1"/>
      <c r="B5" s="143" t="s">
        <v>155</v>
      </c>
      <c r="C5" s="144"/>
      <c r="D5" s="144"/>
      <c r="E5" s="144"/>
      <c r="F5" s="145"/>
      <c r="G5" s="24">
        <v>30596374.285262026</v>
      </c>
      <c r="H5" s="14" t="s">
        <v>3</v>
      </c>
      <c r="I5" s="1"/>
    </row>
    <row r="6" spans="1:9" ht="15" customHeight="1" x14ac:dyDescent="0.25">
      <c r="A6" s="1"/>
      <c r="B6" s="131" t="s">
        <v>156</v>
      </c>
      <c r="C6" s="132"/>
      <c r="D6" s="132"/>
      <c r="E6" s="132"/>
      <c r="F6" s="133"/>
      <c r="G6" s="66">
        <v>0</v>
      </c>
      <c r="H6" s="14" t="s">
        <v>3</v>
      </c>
      <c r="I6" s="1"/>
    </row>
    <row r="7" spans="1:9" x14ac:dyDescent="0.25">
      <c r="A7" s="1"/>
      <c r="B7" s="143" t="s">
        <v>157</v>
      </c>
      <c r="C7" s="144"/>
      <c r="D7" s="144"/>
      <c r="E7" s="144"/>
      <c r="F7" s="145"/>
      <c r="G7" s="66">
        <f>SUM(G5:G6)*'Fane 15. Nøgletal'!C31</f>
        <v>611927.48570524051</v>
      </c>
      <c r="H7" s="14" t="s">
        <v>3</v>
      </c>
      <c r="I7" s="1"/>
    </row>
    <row r="8" spans="1:9" x14ac:dyDescent="0.25">
      <c r="A8" s="1"/>
      <c r="B8" s="32"/>
      <c r="C8" s="33"/>
      <c r="D8" s="33"/>
      <c r="E8" s="33"/>
      <c r="F8" s="33"/>
      <c r="G8" s="67"/>
      <c r="H8" s="20"/>
      <c r="I8" s="1"/>
    </row>
    <row r="9" spans="1:9" x14ac:dyDescent="0.25">
      <c r="A9" s="1"/>
      <c r="B9" s="1"/>
      <c r="C9" s="1"/>
      <c r="D9" s="1"/>
      <c r="E9" s="1"/>
      <c r="F9" s="1"/>
      <c r="G9" s="68"/>
      <c r="H9" s="1"/>
      <c r="I9" s="1"/>
    </row>
    <row r="10" spans="1:9" x14ac:dyDescent="0.25">
      <c r="A10" s="1"/>
      <c r="B10" s="149" t="s">
        <v>49</v>
      </c>
      <c r="C10" s="150"/>
      <c r="D10" s="150"/>
      <c r="E10" s="150"/>
      <c r="F10" s="150"/>
      <c r="G10" s="151"/>
      <c r="H10" s="152"/>
      <c r="I10" s="1"/>
    </row>
    <row r="11" spans="1:9" x14ac:dyDescent="0.25">
      <c r="A11" s="1"/>
      <c r="B11" s="143" t="s">
        <v>158</v>
      </c>
      <c r="C11" s="144"/>
      <c r="D11" s="144"/>
      <c r="E11" s="144"/>
      <c r="F11" s="145"/>
      <c r="G11" s="66">
        <f>(G5-G7)*(1+'Fane 15. Nøgletal'!C10)</f>
        <v>30509174.61854903</v>
      </c>
      <c r="H11" s="14" t="s">
        <v>3</v>
      </c>
      <c r="I11" s="1"/>
    </row>
    <row r="12" spans="1:9" x14ac:dyDescent="0.25">
      <c r="A12" s="1"/>
      <c r="B12" s="143" t="s">
        <v>110</v>
      </c>
      <c r="C12" s="144"/>
      <c r="D12" s="144"/>
      <c r="E12" s="144"/>
      <c r="F12" s="145"/>
      <c r="G12" s="66">
        <v>0</v>
      </c>
      <c r="H12" s="14" t="s">
        <v>3</v>
      </c>
      <c r="I12" s="1"/>
    </row>
    <row r="13" spans="1:9" x14ac:dyDescent="0.25">
      <c r="A13" s="1"/>
      <c r="B13" s="131" t="s">
        <v>108</v>
      </c>
      <c r="C13" s="132"/>
      <c r="D13" s="132"/>
      <c r="E13" s="132"/>
      <c r="F13" s="133"/>
      <c r="G13" s="66">
        <v>0</v>
      </c>
      <c r="H13" s="14" t="s">
        <v>3</v>
      </c>
      <c r="I13" s="1"/>
    </row>
    <row r="14" spans="1:9" x14ac:dyDescent="0.25">
      <c r="A14" s="1"/>
      <c r="B14" s="155" t="s">
        <v>159</v>
      </c>
      <c r="C14" s="153"/>
      <c r="D14" s="153"/>
      <c r="E14" s="153"/>
      <c r="F14" s="154"/>
      <c r="G14" s="66">
        <v>0</v>
      </c>
      <c r="H14" s="14" t="s">
        <v>3</v>
      </c>
      <c r="I14" s="1"/>
    </row>
    <row r="15" spans="1:9" x14ac:dyDescent="0.25">
      <c r="A15" s="1"/>
      <c r="B15" s="143" t="s">
        <v>42</v>
      </c>
      <c r="C15" s="144"/>
      <c r="D15" s="144"/>
      <c r="E15" s="144"/>
      <c r="F15" s="145"/>
      <c r="G15" s="66">
        <f>SUM(G11:G14)*'Fane 15. Nøgletal'!C31</f>
        <v>610183.49237098068</v>
      </c>
      <c r="H15" s="14" t="s">
        <v>3</v>
      </c>
      <c r="I15" s="1"/>
    </row>
    <row r="16" spans="1:9" x14ac:dyDescent="0.25">
      <c r="A16" s="1"/>
      <c r="B16" s="32"/>
      <c r="C16" s="33"/>
      <c r="D16" s="33"/>
      <c r="E16" s="33"/>
      <c r="F16" s="33"/>
      <c r="G16" s="67"/>
      <c r="H16" s="20"/>
      <c r="I16" s="1"/>
    </row>
    <row r="17" spans="1:9" x14ac:dyDescent="0.25">
      <c r="A17" s="1"/>
      <c r="B17" s="1"/>
      <c r="C17" s="1"/>
      <c r="D17" s="1"/>
      <c r="E17" s="1"/>
      <c r="F17" s="1"/>
      <c r="G17" s="68"/>
      <c r="H17" s="1"/>
      <c r="I17" s="1"/>
    </row>
    <row r="18" spans="1:9" x14ac:dyDescent="0.25">
      <c r="A18" s="1"/>
      <c r="B18" s="149" t="s">
        <v>50</v>
      </c>
      <c r="C18" s="150"/>
      <c r="D18" s="150"/>
      <c r="E18" s="150"/>
      <c r="F18" s="150"/>
      <c r="G18" s="151"/>
      <c r="H18" s="152"/>
      <c r="I18" s="1"/>
    </row>
    <row r="19" spans="1:9" x14ac:dyDescent="0.25">
      <c r="A19" s="1"/>
      <c r="B19" s="143" t="s">
        <v>43</v>
      </c>
      <c r="C19" s="144"/>
      <c r="D19" s="144"/>
      <c r="E19" s="144"/>
      <c r="F19" s="145"/>
      <c r="G19" s="66">
        <f>(G11+G12+G14-G15)*(1+'Fane 15. Nøgletal'!C10)</f>
        <v>30422223.470886167</v>
      </c>
      <c r="H19" s="14" t="s">
        <v>3</v>
      </c>
      <c r="I19" s="1"/>
    </row>
    <row r="20" spans="1:9" x14ac:dyDescent="0.25">
      <c r="A20" s="1"/>
      <c r="B20" s="155" t="s">
        <v>44</v>
      </c>
      <c r="C20" s="153"/>
      <c r="D20" s="153"/>
      <c r="E20" s="153"/>
      <c r="F20" s="154"/>
      <c r="G20" s="66">
        <v>0</v>
      </c>
      <c r="H20" s="14" t="s">
        <v>3</v>
      </c>
      <c r="I20" s="1"/>
    </row>
    <row r="21" spans="1:9" x14ac:dyDescent="0.25">
      <c r="A21" s="1"/>
      <c r="B21" s="143" t="s">
        <v>45</v>
      </c>
      <c r="C21" s="144"/>
      <c r="D21" s="144"/>
      <c r="E21" s="144"/>
      <c r="F21" s="145"/>
      <c r="G21" s="66">
        <f>(G19+G20)*'Fane 15. Nøgletal'!C31</f>
        <v>608444.46941772336</v>
      </c>
      <c r="H21" s="14" t="s">
        <v>3</v>
      </c>
      <c r="I21" s="1"/>
    </row>
    <row r="22" spans="1:9" x14ac:dyDescent="0.25">
      <c r="A22" s="1"/>
      <c r="B22" s="32"/>
      <c r="C22" s="33"/>
      <c r="D22" s="33"/>
      <c r="E22" s="33"/>
      <c r="F22" s="33"/>
      <c r="G22" s="67"/>
      <c r="H22" s="20"/>
      <c r="I22" s="1"/>
    </row>
    <row r="23" spans="1:9" x14ac:dyDescent="0.25">
      <c r="A23" s="1"/>
      <c r="B23" s="1"/>
      <c r="C23" s="1"/>
      <c r="D23" s="1"/>
      <c r="E23" s="1"/>
      <c r="F23" s="1"/>
      <c r="G23" s="68"/>
      <c r="H23" s="1"/>
      <c r="I23" s="1"/>
    </row>
    <row r="24" spans="1:9" x14ac:dyDescent="0.25">
      <c r="A24" s="1"/>
      <c r="B24" s="149" t="s">
        <v>51</v>
      </c>
      <c r="C24" s="150"/>
      <c r="D24" s="150"/>
      <c r="E24" s="150"/>
      <c r="F24" s="150"/>
      <c r="G24" s="151"/>
      <c r="H24" s="152"/>
      <c r="I24" s="1"/>
    </row>
    <row r="25" spans="1:9" x14ac:dyDescent="0.25">
      <c r="A25" s="1"/>
      <c r="B25" s="143" t="s">
        <v>46</v>
      </c>
      <c r="C25" s="144"/>
      <c r="D25" s="144"/>
      <c r="E25" s="144"/>
      <c r="F25" s="145"/>
      <c r="G25" s="66">
        <f>G19*(1-'Fane 15. Nøgletal'!C31)*(1+'Fane 15. Nøgletal'!C10)+G20*(1-'Fane 15. Nøgletal'!C31)*(1+'Fane 15. Nøgletal'!C11)</f>
        <v>30335520.133994143</v>
      </c>
      <c r="H25" s="14" t="s">
        <v>3</v>
      </c>
      <c r="I25" s="1"/>
    </row>
    <row r="26" spans="1:9" x14ac:dyDescent="0.25">
      <c r="A26" s="1"/>
      <c r="B26" s="146" t="s">
        <v>160</v>
      </c>
      <c r="C26" s="147"/>
      <c r="D26" s="147"/>
      <c r="E26" s="147"/>
      <c r="F26" s="148"/>
      <c r="G26" s="66">
        <f>G20*(1-'Fane 15. Nøgletal'!C31)*(1+'Fane 15. Nøgletal'!C11)</f>
        <v>0</v>
      </c>
      <c r="H26" s="14" t="s">
        <v>3</v>
      </c>
      <c r="I26" s="1"/>
    </row>
    <row r="27" spans="1:9" x14ac:dyDescent="0.25">
      <c r="A27" s="1"/>
      <c r="B27" s="155" t="s">
        <v>47</v>
      </c>
      <c r="C27" s="153"/>
      <c r="D27" s="153"/>
      <c r="E27" s="153"/>
      <c r="F27" s="154"/>
      <c r="G27" s="66">
        <v>118777.07309688002</v>
      </c>
      <c r="H27" s="14" t="s">
        <v>3</v>
      </c>
      <c r="I27" s="1"/>
    </row>
    <row r="28" spans="1:9" x14ac:dyDescent="0.25">
      <c r="A28" s="1"/>
      <c r="B28" s="143" t="s">
        <v>48</v>
      </c>
      <c r="C28" s="144"/>
      <c r="D28" s="144"/>
      <c r="E28" s="144"/>
      <c r="F28" s="145"/>
      <c r="G28" s="66">
        <f>SUM(G25,G27)*'Fane 15. Nøgletal'!C31</f>
        <v>609085.94414182042</v>
      </c>
      <c r="H28" s="14" t="s">
        <v>3</v>
      </c>
      <c r="I28" s="1"/>
    </row>
    <row r="29" spans="1:9" x14ac:dyDescent="0.25">
      <c r="A29" s="1"/>
      <c r="B29" s="32"/>
      <c r="C29" s="33"/>
      <c r="D29" s="33"/>
      <c r="E29" s="33"/>
      <c r="F29" s="33"/>
      <c r="G29" s="67"/>
      <c r="H29" s="20"/>
      <c r="I29" s="1"/>
    </row>
    <row r="30" spans="1:9" x14ac:dyDescent="0.25">
      <c r="A30" s="1"/>
      <c r="B30" s="1"/>
      <c r="C30" s="1"/>
      <c r="D30" s="1"/>
      <c r="E30" s="1"/>
      <c r="F30" s="1"/>
      <c r="G30" s="68"/>
      <c r="H30" s="1"/>
      <c r="I30" s="1"/>
    </row>
    <row r="31" spans="1:9" x14ac:dyDescent="0.25">
      <c r="A31" s="1"/>
      <c r="B31" s="149" t="s">
        <v>52</v>
      </c>
      <c r="C31" s="150"/>
      <c r="D31" s="150"/>
      <c r="E31" s="150"/>
      <c r="F31" s="150"/>
      <c r="G31" s="151"/>
      <c r="H31" s="152"/>
      <c r="I31" s="1"/>
    </row>
    <row r="32" spans="1:9" x14ac:dyDescent="0.25">
      <c r="A32" s="1"/>
      <c r="B32" s="143" t="s">
        <v>53</v>
      </c>
      <c r="C32" s="144"/>
      <c r="D32" s="144"/>
      <c r="E32" s="144"/>
      <c r="F32" s="145"/>
      <c r="G32" s="66">
        <f>(G25-G26)*(1-'Fane 15. Nøgletal'!C31)*(1+'Fane 15. Nøgletal'!C10)+G26*(1-'Fane 15. Nøgletal'!C31)*(1+'Fane 15. Nøgletal'!C11)+G27*(1-'Fane 15. Nøgletal'!C31)*(1+'Fane 15. Nøgletal'!C12)</f>
        <v>30367758.543420415</v>
      </c>
      <c r="H32" s="14" t="s">
        <v>3</v>
      </c>
      <c r="I32" s="1"/>
    </row>
    <row r="33" spans="1:9" x14ac:dyDescent="0.25">
      <c r="A33" s="1"/>
      <c r="B33" s="146" t="s">
        <v>160</v>
      </c>
      <c r="C33" s="153"/>
      <c r="D33" s="153"/>
      <c r="E33" s="153"/>
      <c r="F33" s="154"/>
      <c r="G33" s="66">
        <f>G26*(1-'Fane 15. Nøgletal'!C31)*(1+'Fane 15. Nøgletal'!C11)</f>
        <v>0</v>
      </c>
      <c r="H33" s="14" t="s">
        <v>3</v>
      </c>
      <c r="I33" s="1"/>
    </row>
    <row r="34" spans="1:9" x14ac:dyDescent="0.25">
      <c r="A34" s="1"/>
      <c r="B34" s="146" t="s">
        <v>107</v>
      </c>
      <c r="C34" s="153"/>
      <c r="D34" s="153"/>
      <c r="E34" s="153"/>
      <c r="F34" s="154"/>
      <c r="G34" s="66">
        <f>G27*(1-'Fane 15. Nøgletal'!C31)*(1+'Fane 15. Nøgletal'!C12)</f>
        <v>118694.64180815079</v>
      </c>
      <c r="H34" s="14" t="s">
        <v>3</v>
      </c>
      <c r="I34" s="1"/>
    </row>
    <row r="35" spans="1:9" x14ac:dyDescent="0.25">
      <c r="A35" s="1"/>
      <c r="B35" s="143" t="s">
        <v>123</v>
      </c>
      <c r="C35" s="144"/>
      <c r="D35" s="144"/>
      <c r="E35" s="144"/>
      <c r="F35" s="145"/>
      <c r="G35" s="66">
        <v>230856.46737299999</v>
      </c>
      <c r="H35" s="14" t="s">
        <v>3</v>
      </c>
      <c r="I35" s="1"/>
    </row>
    <row r="36" spans="1:9" x14ac:dyDescent="0.25">
      <c r="A36" s="1"/>
      <c r="B36" s="143" t="s">
        <v>54</v>
      </c>
      <c r="C36" s="144"/>
      <c r="D36" s="144"/>
      <c r="E36" s="144"/>
      <c r="F36" s="145"/>
      <c r="G36" s="66">
        <f>SUM(G32,G35)*'Fane 15. Nøgletal'!C31</f>
        <v>611972.30021586828</v>
      </c>
      <c r="H36" s="14" t="s">
        <v>3</v>
      </c>
      <c r="I36" s="1"/>
    </row>
    <row r="37" spans="1:9" x14ac:dyDescent="0.25">
      <c r="A37" s="1"/>
      <c r="B37" s="32"/>
      <c r="C37" s="33"/>
      <c r="D37" s="33"/>
      <c r="E37" s="33"/>
      <c r="F37" s="33"/>
      <c r="G37" s="67"/>
      <c r="H37" s="20"/>
      <c r="I37" s="1"/>
    </row>
    <row r="38" spans="1:9" x14ac:dyDescent="0.25">
      <c r="A38" s="1"/>
      <c r="B38" s="1"/>
      <c r="C38" s="1"/>
      <c r="D38" s="1"/>
      <c r="E38" s="1"/>
      <c r="F38" s="1"/>
      <c r="G38" s="68"/>
      <c r="H38" s="1"/>
      <c r="I38" s="1"/>
    </row>
    <row r="39" spans="1:9" x14ac:dyDescent="0.25">
      <c r="A39" s="1"/>
      <c r="B39" s="149" t="s">
        <v>139</v>
      </c>
      <c r="C39" s="150"/>
      <c r="D39" s="150"/>
      <c r="E39" s="150"/>
      <c r="F39" s="150"/>
      <c r="G39" s="151"/>
      <c r="H39" s="152"/>
      <c r="I39" s="1"/>
    </row>
    <row r="40" spans="1:9" x14ac:dyDescent="0.25">
      <c r="A40" s="1"/>
      <c r="B40" s="143" t="s">
        <v>166</v>
      </c>
      <c r="C40" s="144"/>
      <c r="D40" s="144"/>
      <c r="E40" s="144"/>
      <c r="F40" s="145"/>
      <c r="G40" s="66">
        <f>(SUM(G32,G35)-G36)*(1+'Fane 15. Nøgletal'!C14)</f>
        <v>30085598.631522454</v>
      </c>
      <c r="H40" s="14" t="s">
        <v>3</v>
      </c>
      <c r="I40" s="1"/>
    </row>
    <row r="41" spans="1:9" x14ac:dyDescent="0.25">
      <c r="A41" s="1"/>
      <c r="B41" s="143" t="s">
        <v>165</v>
      </c>
      <c r="C41" s="144"/>
      <c r="D41" s="144"/>
      <c r="E41" s="144"/>
      <c r="F41" s="145"/>
      <c r="G41" s="69">
        <v>381446.13726749003</v>
      </c>
      <c r="H41" s="14" t="s">
        <v>3</v>
      </c>
      <c r="I41" s="1"/>
    </row>
    <row r="42" spans="1:9" x14ac:dyDescent="0.25">
      <c r="A42" s="1"/>
      <c r="B42" s="143" t="s">
        <v>164</v>
      </c>
      <c r="C42" s="144"/>
      <c r="D42" s="144"/>
      <c r="E42" s="144"/>
      <c r="F42" s="145"/>
      <c r="G42" s="66">
        <f>(G40+G41)*'Fane 15. Nøgletal'!C31</f>
        <v>609340.89537579892</v>
      </c>
      <c r="H42" s="14" t="s">
        <v>3</v>
      </c>
      <c r="I42" s="1"/>
    </row>
    <row r="43" spans="1:9" x14ac:dyDescent="0.25">
      <c r="A43" s="1"/>
      <c r="B43" s="32"/>
      <c r="C43" s="33"/>
      <c r="D43" s="33"/>
      <c r="E43" s="33"/>
      <c r="F43" s="33"/>
      <c r="G43" s="67"/>
      <c r="H43" s="20"/>
      <c r="I43" s="1"/>
    </row>
    <row r="44" spans="1:9" x14ac:dyDescent="0.25">
      <c r="A44" s="1"/>
      <c r="B44" s="1"/>
      <c r="C44" s="1"/>
      <c r="D44" s="1"/>
      <c r="E44" s="1"/>
      <c r="F44" s="1"/>
      <c r="G44" s="68"/>
      <c r="H44" s="1"/>
      <c r="I44" s="1"/>
    </row>
    <row r="45" spans="1:9" x14ac:dyDescent="0.25">
      <c r="A45" s="1"/>
      <c r="B45" s="149" t="s">
        <v>151</v>
      </c>
      <c r="C45" s="150"/>
      <c r="D45" s="150"/>
      <c r="E45" s="150"/>
      <c r="F45" s="150"/>
      <c r="G45" s="151"/>
      <c r="H45" s="152"/>
      <c r="I45" s="1"/>
    </row>
    <row r="46" spans="1:9" x14ac:dyDescent="0.25">
      <c r="A46" s="1"/>
      <c r="B46" s="143" t="s">
        <v>175</v>
      </c>
      <c r="C46" s="144"/>
      <c r="D46" s="144"/>
      <c r="E46" s="144"/>
      <c r="F46" s="145"/>
      <c r="G46" s="66">
        <f>(G40+G41-G42)*(1+'Fane 15. Nøgletal'!C14)</f>
        <v>29956234.296196412</v>
      </c>
      <c r="H46" s="14" t="s">
        <v>3</v>
      </c>
      <c r="I46" s="1"/>
    </row>
    <row r="47" spans="1:9" x14ac:dyDescent="0.25">
      <c r="A47" s="1"/>
      <c r="B47" s="146" t="s">
        <v>238</v>
      </c>
      <c r="C47" s="147"/>
      <c r="D47" s="147"/>
      <c r="E47" s="147"/>
      <c r="F47" s="148"/>
      <c r="G47" s="69">
        <f>('Fane 2.1. Økonomisk ramme 2023'!C12+'Fane 2.1. Økonomisk ramme 2023'!C14+'Fane 2.1. Økonomisk ramme 2023'!C16)*(1+'Fane 15. Nøgletal'!C15)</f>
        <v>526302.63224640011</v>
      </c>
      <c r="H47" s="14" t="s">
        <v>3</v>
      </c>
      <c r="I47" s="1"/>
    </row>
    <row r="48" spans="1:9" x14ac:dyDescent="0.25">
      <c r="A48" s="1"/>
      <c r="B48" s="143" t="s">
        <v>176</v>
      </c>
      <c r="C48" s="144"/>
      <c r="D48" s="144"/>
      <c r="E48" s="144"/>
      <c r="F48" s="145"/>
      <c r="G48" s="66">
        <f>G46*'Fane 15. Nøgletal'!C31+'Fane 4.1. Gen. krav - drift'!G47*'Fane 15. Nøgletal'!C31</f>
        <v>609650.73856885626</v>
      </c>
      <c r="H48" s="14" t="s">
        <v>3</v>
      </c>
      <c r="I48" s="1"/>
    </row>
    <row r="49" spans="1:9" x14ac:dyDescent="0.25">
      <c r="A49" s="1"/>
      <c r="B49" s="32"/>
      <c r="C49" s="33"/>
      <c r="D49" s="33"/>
      <c r="E49" s="33"/>
      <c r="F49" s="33"/>
      <c r="G49" s="67"/>
      <c r="H49" s="20"/>
      <c r="I49" s="1"/>
    </row>
    <row r="50" spans="1:9" x14ac:dyDescent="0.25">
      <c r="A50" s="1"/>
      <c r="B50" s="31"/>
      <c r="C50" s="31"/>
      <c r="D50" s="31"/>
      <c r="E50" s="31"/>
      <c r="F50" s="31"/>
      <c r="G50" s="70"/>
      <c r="H50" s="31"/>
      <c r="I50" s="1"/>
    </row>
    <row r="51" spans="1:9" x14ac:dyDescent="0.25">
      <c r="A51" s="1"/>
      <c r="B51" s="31"/>
      <c r="C51" s="31"/>
      <c r="D51" s="31"/>
      <c r="E51" s="31"/>
      <c r="F51" s="31"/>
      <c r="G51" s="70"/>
      <c r="H51" s="31"/>
      <c r="I51" s="1"/>
    </row>
    <row r="52" spans="1:9" x14ac:dyDescent="0.25">
      <c r="A52" s="1"/>
      <c r="B52" s="149" t="s">
        <v>124</v>
      </c>
      <c r="C52" s="150"/>
      <c r="D52" s="150"/>
      <c r="E52" s="150"/>
      <c r="F52" s="150"/>
      <c r="G52" s="151"/>
      <c r="H52" s="152"/>
      <c r="I52" s="1"/>
    </row>
    <row r="53" spans="1:9" x14ac:dyDescent="0.25">
      <c r="A53" s="1"/>
      <c r="B53" s="143" t="s">
        <v>125</v>
      </c>
      <c r="C53" s="144"/>
      <c r="D53" s="144"/>
      <c r="E53" s="144"/>
      <c r="F53" s="145"/>
      <c r="G53" s="66">
        <f>(G46+G47-G48)*(1+'Fane 15. Nøgletal'!C15)</f>
        <v>30936360.938233472</v>
      </c>
      <c r="H53" s="14" t="s">
        <v>3</v>
      </c>
      <c r="I53" s="1"/>
    </row>
    <row r="54" spans="1:9" x14ac:dyDescent="0.25">
      <c r="A54" s="1"/>
      <c r="B54" s="143" t="s">
        <v>126</v>
      </c>
      <c r="C54" s="144"/>
      <c r="D54" s="144"/>
      <c r="E54" s="144"/>
      <c r="F54" s="145"/>
      <c r="G54" s="66">
        <f>(G53)*'Fane 15. Nøgletal'!C31</f>
        <v>618727.21876466949</v>
      </c>
      <c r="H54" s="14" t="s">
        <v>3</v>
      </c>
      <c r="I54" s="1"/>
    </row>
    <row r="55" spans="1:9" x14ac:dyDescent="0.25">
      <c r="A55" s="1"/>
      <c r="B55" s="32"/>
      <c r="C55" s="33"/>
      <c r="D55" s="33"/>
      <c r="E55" s="33"/>
      <c r="F55" s="33"/>
      <c r="G55" s="67"/>
      <c r="H55" s="20"/>
      <c r="I55" s="1"/>
    </row>
    <row r="56" spans="1:9" x14ac:dyDescent="0.25">
      <c r="A56" s="1"/>
      <c r="B56" s="1"/>
      <c r="C56" s="1"/>
      <c r="D56" s="1"/>
      <c r="E56" s="1"/>
      <c r="F56" s="1"/>
      <c r="G56" s="68"/>
      <c r="H56" s="1"/>
      <c r="I56" s="1"/>
    </row>
    <row r="57" spans="1:9" x14ac:dyDescent="0.25">
      <c r="A57" s="1"/>
      <c r="B57" s="86" t="s">
        <v>152</v>
      </c>
      <c r="C57" s="87"/>
      <c r="D57" s="87"/>
      <c r="E57" s="87"/>
      <c r="F57" s="87"/>
      <c r="G57" s="71"/>
      <c r="H57" s="88"/>
      <c r="I57" s="1"/>
    </row>
    <row r="58" spans="1:9" x14ac:dyDescent="0.25">
      <c r="A58" s="1"/>
      <c r="B58" s="83" t="s">
        <v>161</v>
      </c>
      <c r="C58" s="84"/>
      <c r="D58" s="84"/>
      <c r="E58" s="84"/>
      <c r="F58" s="85"/>
      <c r="G58" s="66">
        <f>(G53-G54)*(1+'Fane 15. Nøgletal'!C15)</f>
        <v>31396941.479881894</v>
      </c>
      <c r="H58" s="14" t="s">
        <v>3</v>
      </c>
      <c r="I58" s="1"/>
    </row>
    <row r="59" spans="1:9" x14ac:dyDescent="0.25">
      <c r="A59" s="1"/>
      <c r="B59" s="83" t="s">
        <v>162</v>
      </c>
      <c r="C59" s="84"/>
      <c r="D59" s="84"/>
      <c r="E59" s="84"/>
      <c r="F59" s="85"/>
      <c r="G59" s="66">
        <f>(G58)*'Fane 15. Nøgletal'!C31</f>
        <v>627938.82959763787</v>
      </c>
      <c r="H59" s="14" t="s">
        <v>3</v>
      </c>
      <c r="I59" s="1"/>
    </row>
    <row r="60" spans="1:9" x14ac:dyDescent="0.25">
      <c r="A60" s="1"/>
      <c r="B60" s="32"/>
      <c r="C60" s="33"/>
      <c r="D60" s="33"/>
      <c r="E60" s="33"/>
      <c r="F60" s="33"/>
      <c r="G60" s="67"/>
      <c r="H60" s="20"/>
      <c r="I60" s="1"/>
    </row>
    <row r="61" spans="1:9" x14ac:dyDescent="0.25">
      <c r="A61" s="1"/>
      <c r="B61" s="1"/>
      <c r="C61" s="1"/>
      <c r="D61" s="1"/>
      <c r="E61" s="1"/>
      <c r="F61" s="1"/>
      <c r="G61" s="68"/>
      <c r="H61" s="1"/>
      <c r="I61" s="1"/>
    </row>
    <row r="62" spans="1:9" x14ac:dyDescent="0.25">
      <c r="A62" s="1"/>
      <c r="B62" s="86" t="s">
        <v>204</v>
      </c>
      <c r="C62" s="87"/>
      <c r="D62" s="87"/>
      <c r="E62" s="87"/>
      <c r="F62" s="87"/>
      <c r="G62" s="71"/>
      <c r="H62" s="88"/>
      <c r="I62" s="1"/>
    </row>
    <row r="63" spans="1:9" x14ac:dyDescent="0.25">
      <c r="A63" s="1"/>
      <c r="B63" s="83" t="s">
        <v>205</v>
      </c>
      <c r="C63" s="84"/>
      <c r="D63" s="84"/>
      <c r="E63" s="84"/>
      <c r="F63" s="85"/>
      <c r="G63" s="66">
        <f>(G58-G59)*(1+'Fane 15. Nøgletal'!C15)</f>
        <v>31864379.144634377</v>
      </c>
      <c r="H63" s="14" t="s">
        <v>3</v>
      </c>
      <c r="I63" s="1"/>
    </row>
    <row r="64" spans="1:9" x14ac:dyDescent="0.25">
      <c r="A64" s="1"/>
      <c r="B64" s="83" t="s">
        <v>206</v>
      </c>
      <c r="C64" s="84"/>
      <c r="D64" s="84"/>
      <c r="E64" s="84"/>
      <c r="F64" s="85"/>
      <c r="G64" s="66">
        <f>(G63)*'Fane 15. Nøgletal'!C31</f>
        <v>637287.58289268753</v>
      </c>
      <c r="H64" s="14" t="s">
        <v>3</v>
      </c>
      <c r="I64" s="1"/>
    </row>
    <row r="65" spans="1:9" x14ac:dyDescent="0.25">
      <c r="A65" s="1"/>
      <c r="B65" s="32"/>
      <c r="C65" s="33"/>
      <c r="D65" s="33"/>
      <c r="E65" s="33"/>
      <c r="F65" s="33"/>
      <c r="G65" s="56"/>
      <c r="H65" s="20"/>
      <c r="I65" s="1"/>
    </row>
    <row r="66" spans="1:9" x14ac:dyDescent="0.25">
      <c r="A66" s="1"/>
      <c r="B66" s="1"/>
      <c r="C66" s="1"/>
      <c r="D66" s="1"/>
      <c r="E66" s="1"/>
      <c r="F66" s="1"/>
      <c r="G66" s="57"/>
      <c r="H66" s="1"/>
      <c r="I66" s="1"/>
    </row>
    <row r="67" spans="1:9" x14ac:dyDescent="0.25">
      <c r="A67" s="1"/>
      <c r="B67" s="1"/>
      <c r="C67" s="1"/>
      <c r="D67" s="1"/>
      <c r="E67" s="1"/>
      <c r="F67" s="1"/>
      <c r="G67" s="57"/>
      <c r="H67" s="1"/>
      <c r="I67" s="1"/>
    </row>
    <row r="68" spans="1:9" x14ac:dyDescent="0.25">
      <c r="A68" s="1"/>
      <c r="B68" s="1"/>
      <c r="C68" s="1"/>
      <c r="D68" s="1"/>
      <c r="E68" s="1"/>
      <c r="F68" s="1"/>
      <c r="G68" s="57"/>
      <c r="H68" s="1"/>
      <c r="I68" s="1"/>
    </row>
  </sheetData>
  <sheetProtection algorithmName="SHA-512" hashValue="PYpo3liYhMvvHre9A6PouG0gCzDr55hZ9se9Wv5qPt5qKp0BwU5y2Z7tlqmjeQR4CH8dLNmJbArH+q9jcfSLQg==" saltValue="kksPoBdnqKy7uPF2iT9bFQ=="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Normal="100" workbookViewId="0"/>
  </sheetViews>
  <sheetFormatPr defaultColWidth="9" defaultRowHeight="15" x14ac:dyDescent="0.25"/>
  <cols>
    <col min="1" max="1" width="3.42578125" style="2" customWidth="1"/>
    <col min="2" max="5" width="9" style="2"/>
    <col min="6" max="6" width="19.140625" style="2" customWidth="1"/>
    <col min="7" max="7" width="11" style="2" customWidth="1"/>
    <col min="8" max="8" width="6.85546875" style="2" customWidth="1"/>
    <col min="9" max="9" width="7.28515625" style="2" customWidth="1"/>
    <col min="10" max="16384" width="9" style="2"/>
  </cols>
  <sheetData>
    <row r="1" spans="1:9" x14ac:dyDescent="0.25">
      <c r="A1" s="1"/>
      <c r="B1" s="1"/>
      <c r="C1" s="1"/>
      <c r="D1" s="1"/>
      <c r="E1" s="1"/>
      <c r="F1" s="1"/>
      <c r="G1" s="1"/>
      <c r="H1" s="1"/>
      <c r="I1" s="1"/>
    </row>
    <row r="2" spans="1:9" ht="15" customHeight="1" x14ac:dyDescent="0.25">
      <c r="A2" s="1"/>
      <c r="B2" s="156" t="s">
        <v>98</v>
      </c>
      <c r="C2" s="156"/>
      <c r="D2" s="156"/>
      <c r="E2" s="156"/>
      <c r="F2" s="156"/>
      <c r="G2" s="156"/>
      <c r="H2" s="156"/>
      <c r="I2" s="1"/>
    </row>
    <row r="3" spans="1:9" ht="28.5" customHeight="1" x14ac:dyDescent="0.25">
      <c r="A3" s="1"/>
      <c r="B3" s="156"/>
      <c r="C3" s="156"/>
      <c r="D3" s="156"/>
      <c r="E3" s="156"/>
      <c r="F3" s="156"/>
      <c r="G3" s="156"/>
      <c r="H3" s="156"/>
      <c r="I3" s="1"/>
    </row>
    <row r="4" spans="1:9" ht="18.75" x14ac:dyDescent="0.3">
      <c r="A4" s="1"/>
      <c r="B4" s="27"/>
      <c r="C4" s="27"/>
      <c r="D4" s="27"/>
      <c r="E4" s="27"/>
      <c r="F4" s="27"/>
      <c r="G4" s="27"/>
      <c r="H4" s="27"/>
      <c r="I4" s="1"/>
    </row>
    <row r="5" spans="1:9" x14ac:dyDescent="0.25">
      <c r="A5" s="1"/>
      <c r="B5" s="149" t="s">
        <v>167</v>
      </c>
      <c r="C5" s="150"/>
      <c r="D5" s="150"/>
      <c r="E5" s="150"/>
      <c r="F5" s="150"/>
      <c r="G5" s="150"/>
      <c r="H5" s="152"/>
      <c r="I5" s="1"/>
    </row>
    <row r="6" spans="1:9" x14ac:dyDescent="0.25">
      <c r="A6" s="1"/>
      <c r="B6" s="143" t="s">
        <v>168</v>
      </c>
      <c r="C6" s="144"/>
      <c r="D6" s="144"/>
      <c r="E6" s="144"/>
      <c r="F6" s="145"/>
      <c r="G6" s="66">
        <v>51064678.222915456</v>
      </c>
      <c r="H6" s="14" t="s">
        <v>3</v>
      </c>
      <c r="I6" s="1"/>
    </row>
    <row r="7" spans="1:9" x14ac:dyDescent="0.25">
      <c r="A7" s="1"/>
      <c r="B7" s="143" t="s">
        <v>163</v>
      </c>
      <c r="C7" s="144"/>
      <c r="D7" s="144"/>
      <c r="E7" s="144"/>
      <c r="F7" s="145"/>
      <c r="G7" s="66">
        <f>G6*'Fane 15. Nøgletal'!C20</f>
        <v>464688.57182853069</v>
      </c>
      <c r="H7" s="14" t="s">
        <v>3</v>
      </c>
      <c r="I7" s="1"/>
    </row>
    <row r="8" spans="1:9" x14ac:dyDescent="0.25">
      <c r="A8" s="1"/>
      <c r="B8" s="32"/>
      <c r="C8" s="33"/>
      <c r="D8" s="33"/>
      <c r="E8" s="33"/>
      <c r="F8" s="33"/>
      <c r="G8" s="63"/>
      <c r="H8" s="20"/>
      <c r="I8" s="1"/>
    </row>
    <row r="9" spans="1:9" x14ac:dyDescent="0.25">
      <c r="A9" s="1"/>
      <c r="B9" s="1"/>
      <c r="C9" s="1"/>
      <c r="D9" s="1"/>
      <c r="E9" s="1"/>
      <c r="F9" s="1"/>
      <c r="G9" s="72"/>
      <c r="H9" s="1"/>
      <c r="I9" s="1"/>
    </row>
    <row r="10" spans="1:9" x14ac:dyDescent="0.25">
      <c r="A10" s="1"/>
      <c r="B10" s="149" t="s">
        <v>55</v>
      </c>
      <c r="C10" s="150"/>
      <c r="D10" s="150"/>
      <c r="E10" s="150"/>
      <c r="F10" s="150"/>
      <c r="G10" s="151"/>
      <c r="H10" s="152"/>
      <c r="I10" s="1"/>
    </row>
    <row r="11" spans="1:9" x14ac:dyDescent="0.25">
      <c r="A11" s="1"/>
      <c r="B11" s="143" t="s">
        <v>169</v>
      </c>
      <c r="C11" s="144"/>
      <c r="D11" s="144"/>
      <c r="E11" s="144"/>
      <c r="F11" s="145"/>
      <c r="G11" s="66">
        <f>(G6-G7)*(1+'Fane 15. Nøgletal'!C10)</f>
        <v>51485489.469980948</v>
      </c>
      <c r="H11" s="14" t="s">
        <v>3</v>
      </c>
      <c r="I11" s="1"/>
    </row>
    <row r="12" spans="1:9" x14ac:dyDescent="0.25">
      <c r="A12" s="1"/>
      <c r="B12" s="143" t="s">
        <v>111</v>
      </c>
      <c r="C12" s="144"/>
      <c r="D12" s="144"/>
      <c r="E12" s="144"/>
      <c r="F12" s="145"/>
      <c r="G12" s="66">
        <v>-683207.51390401972</v>
      </c>
      <c r="H12" s="14" t="s">
        <v>3</v>
      </c>
      <c r="I12" s="1"/>
    </row>
    <row r="13" spans="1:9" x14ac:dyDescent="0.25">
      <c r="A13" s="1"/>
      <c r="B13" s="155" t="s">
        <v>170</v>
      </c>
      <c r="C13" s="153"/>
      <c r="D13" s="153"/>
      <c r="E13" s="153"/>
      <c r="F13" s="154"/>
      <c r="G13" s="66">
        <v>0</v>
      </c>
      <c r="H13" s="14" t="s">
        <v>3</v>
      </c>
      <c r="I13" s="1"/>
    </row>
    <row r="14" spans="1:9" x14ac:dyDescent="0.25">
      <c r="A14" s="1"/>
      <c r="B14" s="143" t="s">
        <v>56</v>
      </c>
      <c r="C14" s="144"/>
      <c r="D14" s="144"/>
      <c r="E14" s="144"/>
      <c r="F14" s="145"/>
      <c r="G14" s="66">
        <f>SUM(G11:G13)*'Fane 15. Nøgletal'!C21</f>
        <v>899200.39062256168</v>
      </c>
      <c r="H14" s="14" t="s">
        <v>3</v>
      </c>
      <c r="I14" s="1"/>
    </row>
    <row r="15" spans="1:9" x14ac:dyDescent="0.25">
      <c r="A15" s="1"/>
      <c r="B15" s="32"/>
      <c r="C15" s="33"/>
      <c r="D15" s="33"/>
      <c r="E15" s="33"/>
      <c r="F15" s="33"/>
      <c r="G15" s="63"/>
      <c r="H15" s="20"/>
      <c r="I15" s="1"/>
    </row>
    <row r="16" spans="1:9" x14ac:dyDescent="0.25">
      <c r="A16" s="1"/>
      <c r="B16" s="1"/>
      <c r="C16" s="1"/>
      <c r="D16" s="1"/>
      <c r="E16" s="1"/>
      <c r="F16" s="1"/>
      <c r="G16" s="72"/>
      <c r="H16" s="1"/>
      <c r="I16" s="1"/>
    </row>
    <row r="17" spans="1:9" x14ac:dyDescent="0.25">
      <c r="A17" s="1"/>
      <c r="B17" s="149" t="s">
        <v>57</v>
      </c>
      <c r="C17" s="150"/>
      <c r="D17" s="150"/>
      <c r="E17" s="150"/>
      <c r="F17" s="150"/>
      <c r="G17" s="151"/>
      <c r="H17" s="152"/>
      <c r="I17" s="1"/>
    </row>
    <row r="18" spans="1:9" x14ac:dyDescent="0.25">
      <c r="A18" s="1"/>
      <c r="B18" s="143" t="s">
        <v>58</v>
      </c>
      <c r="C18" s="144"/>
      <c r="D18" s="144"/>
      <c r="E18" s="144"/>
      <c r="F18" s="145"/>
      <c r="G18" s="66">
        <f>(G11+G12+G13-G14)*(1+'Fane 15. Nøgletal'!C10)</f>
        <v>50776385.492849819</v>
      </c>
      <c r="H18" s="14" t="s">
        <v>3</v>
      </c>
      <c r="I18" s="1"/>
    </row>
    <row r="19" spans="1:9" x14ac:dyDescent="0.25">
      <c r="A19" s="1"/>
      <c r="B19" s="155" t="s">
        <v>59</v>
      </c>
      <c r="C19" s="153"/>
      <c r="D19" s="153"/>
      <c r="E19" s="153"/>
      <c r="F19" s="154"/>
      <c r="G19" s="66">
        <v>1215585.2140103697</v>
      </c>
      <c r="H19" s="14" t="s">
        <v>3</v>
      </c>
      <c r="I19" s="1"/>
    </row>
    <row r="20" spans="1:9" x14ac:dyDescent="0.25">
      <c r="A20" s="1"/>
      <c r="B20" s="143" t="s">
        <v>60</v>
      </c>
      <c r="C20" s="144"/>
      <c r="D20" s="144"/>
      <c r="E20" s="144"/>
      <c r="F20" s="145"/>
      <c r="G20" s="66">
        <f>G18*'Fane 15. Nøgletal'!C21+G19*'Fane 15. Nøgletal'!C22</f>
        <v>909317.61458533199</v>
      </c>
      <c r="H20" s="14" t="s">
        <v>3</v>
      </c>
      <c r="I20" s="1"/>
    </row>
    <row r="21" spans="1:9" x14ac:dyDescent="0.25">
      <c r="A21" s="1"/>
      <c r="B21" s="32"/>
      <c r="C21" s="33"/>
      <c r="D21" s="33"/>
      <c r="E21" s="33"/>
      <c r="F21" s="33"/>
      <c r="G21" s="63"/>
      <c r="H21" s="20"/>
      <c r="I21" s="1"/>
    </row>
    <row r="22" spans="1:9" x14ac:dyDescent="0.25">
      <c r="A22" s="1"/>
      <c r="B22" s="1"/>
      <c r="C22" s="1"/>
      <c r="D22" s="1"/>
      <c r="E22" s="1"/>
      <c r="F22" s="1"/>
      <c r="G22" s="72"/>
      <c r="H22" s="1"/>
      <c r="I22" s="1"/>
    </row>
    <row r="23" spans="1:9" x14ac:dyDescent="0.25">
      <c r="A23" s="1"/>
      <c r="B23" s="149" t="s">
        <v>150</v>
      </c>
      <c r="C23" s="150"/>
      <c r="D23" s="150"/>
      <c r="E23" s="150"/>
      <c r="F23" s="150"/>
      <c r="G23" s="151"/>
      <c r="H23" s="152"/>
      <c r="I23" s="1"/>
    </row>
    <row r="24" spans="1:9" x14ac:dyDescent="0.25">
      <c r="A24" s="1"/>
      <c r="B24" s="143" t="s">
        <v>61</v>
      </c>
      <c r="C24" s="144"/>
      <c r="D24" s="144"/>
      <c r="E24" s="144"/>
      <c r="F24" s="145"/>
      <c r="G24" s="66">
        <f>G18*(1-'Fane 15. Nøgletal'!C21)*(1+'Fane 15. Nøgletal'!C10)+G19*(1-'Fane 15. Nøgletal'!C22)*(1+'Fane 15. Nøgletal'!C11)</f>
        <v>51975876.515616074</v>
      </c>
      <c r="H24" s="14" t="s">
        <v>3</v>
      </c>
      <c r="I24" s="1"/>
    </row>
    <row r="25" spans="1:9" x14ac:dyDescent="0.25">
      <c r="A25" s="1"/>
      <c r="B25" s="146" t="s">
        <v>171</v>
      </c>
      <c r="C25" s="153"/>
      <c r="D25" s="153"/>
      <c r="E25" s="153"/>
      <c r="F25" s="154"/>
      <c r="G25" s="66">
        <f>G19*(1-'Fane 15. Nøgletal'!C22)*(1+'Fane 15. Nøgletal'!C11)</f>
        <v>1225374.2852712385</v>
      </c>
      <c r="H25" s="14" t="s">
        <v>3</v>
      </c>
      <c r="I25" s="1"/>
    </row>
    <row r="26" spans="1:9" x14ac:dyDescent="0.25">
      <c r="A26" s="1"/>
      <c r="B26" s="155" t="s">
        <v>62</v>
      </c>
      <c r="C26" s="153"/>
      <c r="D26" s="153"/>
      <c r="E26" s="153"/>
      <c r="F26" s="154"/>
      <c r="G26" s="66">
        <v>737347.70102994004</v>
      </c>
      <c r="H26" s="14" t="s">
        <v>3</v>
      </c>
      <c r="I26" s="1"/>
    </row>
    <row r="27" spans="1:9" x14ac:dyDescent="0.25">
      <c r="A27" s="1"/>
      <c r="B27" s="143" t="s">
        <v>63</v>
      </c>
      <c r="C27" s="144"/>
      <c r="D27" s="144"/>
      <c r="E27" s="144"/>
      <c r="F27" s="145"/>
      <c r="G27" s="66">
        <f>(G24-G25)*'Fane 15. Nøgletal'!C22+G25*'Fane 15. Nøgletal'!C23+G26*'Fane 15. Nøgletal'!C24</f>
        <v>496607.06088402658</v>
      </c>
      <c r="H27" s="14" t="s">
        <v>3</v>
      </c>
      <c r="I27" s="1"/>
    </row>
    <row r="28" spans="1:9" x14ac:dyDescent="0.25">
      <c r="A28" s="1"/>
      <c r="B28" s="32"/>
      <c r="C28" s="33"/>
      <c r="D28" s="33"/>
      <c r="E28" s="33"/>
      <c r="F28" s="33"/>
      <c r="G28" s="63"/>
      <c r="H28" s="20"/>
      <c r="I28" s="1"/>
    </row>
    <row r="29" spans="1:9" x14ac:dyDescent="0.25">
      <c r="A29" s="1"/>
      <c r="B29" s="1"/>
      <c r="C29" s="1"/>
      <c r="D29" s="1"/>
      <c r="E29" s="1"/>
      <c r="F29" s="1"/>
      <c r="G29" s="72"/>
      <c r="H29" s="1"/>
      <c r="I29" s="1"/>
    </row>
    <row r="30" spans="1:9" x14ac:dyDescent="0.25">
      <c r="A30" s="1"/>
      <c r="B30" s="149" t="s">
        <v>64</v>
      </c>
      <c r="C30" s="150"/>
      <c r="D30" s="150"/>
      <c r="E30" s="150"/>
      <c r="F30" s="150"/>
      <c r="G30" s="151"/>
      <c r="H30" s="152"/>
      <c r="I30" s="1"/>
    </row>
    <row r="31" spans="1:9" x14ac:dyDescent="0.25">
      <c r="A31" s="1"/>
      <c r="B31" s="143" t="s">
        <v>65</v>
      </c>
      <c r="C31" s="144"/>
      <c r="D31" s="144"/>
      <c r="E31" s="144"/>
      <c r="F31" s="145"/>
      <c r="G31" s="66">
        <f>(G24-G25)*(1-'Fane 15. Nøgletal'!C21)*(1+'Fane 15. Nøgletal'!C10)+G25*(1-'Fane 15. Nøgletal'!C22)*(1+'Fane 15. Nøgletal'!C11)+G26*(1-'Fane 15. Nøgletal'!C23)*(1+'Fane 15. Nøgletal'!C12)</f>
        <v>52690394.594201416</v>
      </c>
      <c r="H31" s="14" t="s">
        <v>3</v>
      </c>
      <c r="I31" s="1"/>
    </row>
    <row r="32" spans="1:9" x14ac:dyDescent="0.25">
      <c r="A32" s="1"/>
      <c r="B32" s="146" t="s">
        <v>172</v>
      </c>
      <c r="C32" s="153"/>
      <c r="D32" s="153"/>
      <c r="E32" s="153"/>
      <c r="F32" s="154"/>
      <c r="G32" s="66">
        <f>G25*(1-'Fane 15. Nøgletal'!C22)*(1+'Fane 15. Nøgletal'!C11)</f>
        <v>1235242.187629299</v>
      </c>
      <c r="H32" s="14" t="s">
        <v>3</v>
      </c>
      <c r="I32" s="1"/>
    </row>
    <row r="33" spans="1:9" x14ac:dyDescent="0.25">
      <c r="A33" s="1"/>
      <c r="B33" s="146" t="s">
        <v>106</v>
      </c>
      <c r="C33" s="153"/>
      <c r="D33" s="153"/>
      <c r="E33" s="153"/>
      <c r="F33" s="154"/>
      <c r="G33" s="66">
        <f>G26*(1-'Fane 15. Nøgletal'!C23)*(1+'Fane 15. Nøgletal'!C12)</f>
        <v>730520.24473920732</v>
      </c>
      <c r="H33" s="14" t="s">
        <v>3</v>
      </c>
      <c r="I33" s="1"/>
    </row>
    <row r="34" spans="1:9" x14ac:dyDescent="0.25">
      <c r="A34" s="1"/>
      <c r="B34" s="143" t="s">
        <v>127</v>
      </c>
      <c r="C34" s="144"/>
      <c r="D34" s="144"/>
      <c r="E34" s="144"/>
      <c r="F34" s="145"/>
      <c r="G34" s="66">
        <v>3609719.1604555198</v>
      </c>
      <c r="H34" s="14" t="s">
        <v>3</v>
      </c>
      <c r="I34" s="1"/>
    </row>
    <row r="35" spans="1:9" x14ac:dyDescent="0.25">
      <c r="A35" s="1"/>
      <c r="B35" s="143" t="s">
        <v>66</v>
      </c>
      <c r="C35" s="144"/>
      <c r="D35" s="144"/>
      <c r="E35" s="144"/>
      <c r="F35" s="145"/>
      <c r="G35" s="66">
        <f>(G31-SUM(G32:G33))*'Fane 15. Nøgletal'!C21+G32*'Fane 15. Nøgletal'!C22+G33*'Fane 15. Nøgletal'!C23+G34*'Fane 15. Nøgletal'!C24</f>
        <v>1028586.6481599377</v>
      </c>
      <c r="H35" s="14" t="s">
        <v>3</v>
      </c>
      <c r="I35" s="1"/>
    </row>
    <row r="36" spans="1:9" x14ac:dyDescent="0.25">
      <c r="A36" s="1"/>
      <c r="B36" s="32"/>
      <c r="C36" s="33"/>
      <c r="D36" s="33"/>
      <c r="E36" s="33"/>
      <c r="F36" s="33"/>
      <c r="G36" s="63"/>
      <c r="H36" s="20"/>
      <c r="I36" s="1"/>
    </row>
    <row r="37" spans="1:9" x14ac:dyDescent="0.25">
      <c r="A37" s="1"/>
      <c r="B37" s="1"/>
      <c r="C37" s="1"/>
      <c r="D37" s="1"/>
      <c r="E37" s="1"/>
      <c r="F37" s="1"/>
      <c r="G37" s="72"/>
      <c r="H37" s="1"/>
      <c r="I37" s="1"/>
    </row>
    <row r="38" spans="1:9" x14ac:dyDescent="0.25">
      <c r="A38" s="1"/>
      <c r="B38" s="149" t="s">
        <v>140</v>
      </c>
      <c r="C38" s="150"/>
      <c r="D38" s="150"/>
      <c r="E38" s="150"/>
      <c r="F38" s="150"/>
      <c r="G38" s="151"/>
      <c r="H38" s="152"/>
      <c r="I38" s="1"/>
    </row>
    <row r="39" spans="1:9" x14ac:dyDescent="0.25">
      <c r="A39" s="1"/>
      <c r="B39" s="143" t="s">
        <v>173</v>
      </c>
      <c r="C39" s="144"/>
      <c r="D39" s="144"/>
      <c r="E39" s="144"/>
      <c r="F39" s="145"/>
      <c r="G39" s="66">
        <f>(SUM(G31,G34)-G35)*(1+'Fane 15. Nøgletal'!C14)</f>
        <v>55453923.14594844</v>
      </c>
      <c r="H39" s="14" t="s">
        <v>3</v>
      </c>
      <c r="I39" s="1"/>
    </row>
    <row r="40" spans="1:9" x14ac:dyDescent="0.25">
      <c r="A40" s="1"/>
      <c r="B40" s="143" t="s">
        <v>141</v>
      </c>
      <c r="C40" s="144"/>
      <c r="D40" s="144"/>
      <c r="E40" s="144"/>
      <c r="F40" s="145"/>
      <c r="G40" s="66">
        <v>476787.28771384008</v>
      </c>
      <c r="H40" s="14" t="s">
        <v>3</v>
      </c>
      <c r="I40" s="1"/>
    </row>
    <row r="41" spans="1:9" x14ac:dyDescent="0.25">
      <c r="A41" s="1"/>
      <c r="B41" s="143" t="s">
        <v>142</v>
      </c>
      <c r="C41" s="144"/>
      <c r="D41" s="144"/>
      <c r="E41" s="144"/>
      <c r="F41" s="145"/>
      <c r="G41" s="66">
        <f>(G39+G40)*'Fane 15. Nøgletal'!C25</f>
        <v>827774.51441820175</v>
      </c>
      <c r="H41" s="14" t="s">
        <v>3</v>
      </c>
      <c r="I41" s="1"/>
    </row>
    <row r="42" spans="1:9" x14ac:dyDescent="0.25">
      <c r="A42" s="1"/>
      <c r="B42" s="32"/>
      <c r="C42" s="33"/>
      <c r="D42" s="33"/>
      <c r="E42" s="33"/>
      <c r="F42" s="33"/>
      <c r="G42" s="63"/>
      <c r="H42" s="20"/>
      <c r="I42" s="1"/>
    </row>
    <row r="43" spans="1:9" x14ac:dyDescent="0.25">
      <c r="A43" s="1"/>
      <c r="B43" s="1"/>
      <c r="C43" s="1"/>
      <c r="D43" s="1"/>
      <c r="E43" s="1"/>
      <c r="F43" s="1"/>
      <c r="G43" s="72"/>
      <c r="H43" s="1"/>
      <c r="I43" s="1"/>
    </row>
    <row r="44" spans="1:9" x14ac:dyDescent="0.25">
      <c r="A44" s="1"/>
      <c r="B44" s="149" t="s">
        <v>239</v>
      </c>
      <c r="C44" s="150"/>
      <c r="D44" s="150"/>
      <c r="E44" s="150"/>
      <c r="F44" s="150"/>
      <c r="G44" s="151"/>
      <c r="H44" s="152"/>
      <c r="I44" s="1"/>
    </row>
    <row r="45" spans="1:9" x14ac:dyDescent="0.25">
      <c r="A45" s="1"/>
      <c r="B45" s="143" t="s">
        <v>67</v>
      </c>
      <c r="C45" s="144"/>
      <c r="D45" s="144"/>
      <c r="E45" s="144"/>
      <c r="F45" s="145"/>
      <c r="G45" s="66">
        <f>(G39+G40-G41)*(1+'Fane 15. Nøgletal'!C14)</f>
        <v>55284775.607777588</v>
      </c>
      <c r="H45" s="14" t="s">
        <v>3</v>
      </c>
      <c r="I45" s="1"/>
    </row>
    <row r="46" spans="1:9" x14ac:dyDescent="0.25">
      <c r="A46" s="1"/>
      <c r="B46" s="146" t="s">
        <v>243</v>
      </c>
      <c r="C46" s="147"/>
      <c r="D46" s="147"/>
      <c r="E46" s="147"/>
      <c r="F46" s="148"/>
      <c r="G46" s="69">
        <f>(SUM('Fane 2.1. Økonomisk ramme 2023'!C13,'Fane 2.1. Økonomisk ramme 2023'!C15,'Fane 2.1. Økonomisk ramme 2023'!C17))*(1+'Fane 15. Nøgletal'!C15)</f>
        <v>330112.96067952004</v>
      </c>
      <c r="H46" s="14" t="s">
        <v>3</v>
      </c>
      <c r="I46" s="1"/>
    </row>
    <row r="47" spans="1:9" x14ac:dyDescent="0.25">
      <c r="A47" s="1"/>
      <c r="B47" s="143" t="s">
        <v>177</v>
      </c>
      <c r="C47" s="144"/>
      <c r="D47" s="144"/>
      <c r="E47" s="144"/>
      <c r="F47" s="145"/>
      <c r="G47" s="66">
        <f>G45*'Fane 15. Nøgletal'!C25+G46*'Fane 15. Nøgletal'!C26</f>
        <v>818214.67899510835</v>
      </c>
      <c r="H47" s="14" t="s">
        <v>3</v>
      </c>
      <c r="I47" s="1"/>
    </row>
    <row r="48" spans="1:9" x14ac:dyDescent="0.25">
      <c r="A48" s="1"/>
      <c r="B48" s="32"/>
      <c r="C48" s="33"/>
      <c r="D48" s="33"/>
      <c r="E48" s="33"/>
      <c r="F48" s="33"/>
      <c r="G48" s="63"/>
      <c r="H48" s="20"/>
      <c r="I48" s="1"/>
    </row>
    <row r="49" spans="1:9" x14ac:dyDescent="0.25">
      <c r="A49" s="1"/>
      <c r="B49" s="1"/>
      <c r="C49" s="1"/>
      <c r="D49" s="1"/>
      <c r="E49" s="1"/>
      <c r="F49" s="1"/>
      <c r="G49" s="72"/>
      <c r="H49" s="1"/>
      <c r="I49" s="1"/>
    </row>
    <row r="50" spans="1:9" x14ac:dyDescent="0.25">
      <c r="A50" s="1"/>
      <c r="B50" s="149" t="s">
        <v>128</v>
      </c>
      <c r="C50" s="150"/>
      <c r="D50" s="150"/>
      <c r="E50" s="150"/>
      <c r="F50" s="150"/>
      <c r="G50" s="151"/>
      <c r="H50" s="152"/>
      <c r="I50" s="1"/>
    </row>
    <row r="51" spans="1:9" x14ac:dyDescent="0.25">
      <c r="A51" s="1"/>
      <c r="B51" s="143" t="s">
        <v>129</v>
      </c>
      <c r="C51" s="144"/>
      <c r="D51" s="144"/>
      <c r="E51" s="144"/>
      <c r="F51" s="145"/>
      <c r="G51" s="66">
        <f>(G45+G46-G47)*(1+'Fane 15. Nøgletal'!C15)</f>
        <v>56747435.479926854</v>
      </c>
      <c r="H51" s="14" t="s">
        <v>3</v>
      </c>
      <c r="I51" s="1"/>
    </row>
    <row r="52" spans="1:9" x14ac:dyDescent="0.25">
      <c r="A52" s="1"/>
      <c r="B52" s="143" t="s">
        <v>130</v>
      </c>
      <c r="C52" s="144"/>
      <c r="D52" s="144"/>
      <c r="E52" s="144"/>
      <c r="F52" s="145"/>
      <c r="G52" s="66">
        <f>(G51)*'Fane 15. Nøgletal'!C26</f>
        <v>0</v>
      </c>
      <c r="H52" s="14" t="s">
        <v>3</v>
      </c>
      <c r="I52" s="1"/>
    </row>
    <row r="53" spans="1:9" x14ac:dyDescent="0.25">
      <c r="A53" s="1"/>
      <c r="B53" s="32"/>
      <c r="C53" s="33"/>
      <c r="D53" s="33"/>
      <c r="E53" s="33"/>
      <c r="F53" s="33"/>
      <c r="G53" s="63"/>
      <c r="H53" s="20"/>
      <c r="I53" s="1"/>
    </row>
    <row r="54" spans="1:9" x14ac:dyDescent="0.25">
      <c r="A54" s="1"/>
      <c r="B54" s="1"/>
      <c r="C54" s="1"/>
      <c r="D54" s="1"/>
      <c r="E54" s="1"/>
      <c r="F54" s="1"/>
      <c r="G54" s="72"/>
      <c r="H54" s="1"/>
      <c r="I54" s="1"/>
    </row>
    <row r="55" spans="1:9" x14ac:dyDescent="0.25">
      <c r="A55" s="1"/>
      <c r="B55" s="149" t="s">
        <v>153</v>
      </c>
      <c r="C55" s="150"/>
      <c r="D55" s="150"/>
      <c r="E55" s="150"/>
      <c r="F55" s="150"/>
      <c r="G55" s="151"/>
      <c r="H55" s="152"/>
      <c r="I55" s="1"/>
    </row>
    <row r="56" spans="1:9" x14ac:dyDescent="0.25">
      <c r="A56" s="1"/>
      <c r="B56" s="143" t="s">
        <v>129</v>
      </c>
      <c r="C56" s="144"/>
      <c r="D56" s="144"/>
      <c r="E56" s="144"/>
      <c r="F56" s="145"/>
      <c r="G56" s="66">
        <f>(G51-G52)*(1+'Fane 15. Nøgletal'!C15)</f>
        <v>58767644.183012255</v>
      </c>
      <c r="H56" s="14" t="s">
        <v>3</v>
      </c>
      <c r="I56" s="1"/>
    </row>
    <row r="57" spans="1:9" x14ac:dyDescent="0.25">
      <c r="A57" s="1"/>
      <c r="B57" s="143" t="s">
        <v>174</v>
      </c>
      <c r="C57" s="144"/>
      <c r="D57" s="144"/>
      <c r="E57" s="144"/>
      <c r="F57" s="145"/>
      <c r="G57" s="66">
        <f>(G56)*'Fane 15. Nøgletal'!C26</f>
        <v>0</v>
      </c>
      <c r="H57" s="14" t="s">
        <v>3</v>
      </c>
      <c r="I57" s="1"/>
    </row>
    <row r="58" spans="1:9" x14ac:dyDescent="0.25">
      <c r="A58" s="1"/>
      <c r="B58" s="32"/>
      <c r="C58" s="33"/>
      <c r="D58" s="33"/>
      <c r="E58" s="33"/>
      <c r="F58" s="33"/>
      <c r="G58" s="63"/>
      <c r="H58" s="20"/>
      <c r="I58" s="1"/>
    </row>
    <row r="59" spans="1:9" x14ac:dyDescent="0.25">
      <c r="A59" s="1"/>
      <c r="B59" s="1"/>
      <c r="C59" s="1"/>
      <c r="D59" s="1"/>
      <c r="E59" s="1"/>
      <c r="F59" s="1"/>
      <c r="G59" s="72"/>
      <c r="H59" s="1"/>
      <c r="I59" s="1"/>
    </row>
    <row r="60" spans="1:9" x14ac:dyDescent="0.25">
      <c r="A60" s="1"/>
      <c r="B60" s="149" t="s">
        <v>207</v>
      </c>
      <c r="C60" s="150"/>
      <c r="D60" s="150"/>
      <c r="E60" s="150"/>
      <c r="F60" s="150"/>
      <c r="G60" s="151"/>
      <c r="H60" s="152"/>
      <c r="I60" s="1"/>
    </row>
    <row r="61" spans="1:9" x14ac:dyDescent="0.25">
      <c r="A61" s="1"/>
      <c r="B61" s="143" t="s">
        <v>208</v>
      </c>
      <c r="C61" s="144"/>
      <c r="D61" s="144"/>
      <c r="E61" s="144"/>
      <c r="F61" s="145"/>
      <c r="G61" s="66">
        <f>(G56-G57)*(1+'Fane 15. Nøgletal'!C15)</f>
        <v>60859772.315927498</v>
      </c>
      <c r="H61" s="14" t="s">
        <v>3</v>
      </c>
      <c r="I61" s="1"/>
    </row>
    <row r="62" spans="1:9" x14ac:dyDescent="0.25">
      <c r="A62" s="1"/>
      <c r="B62" s="143" t="s">
        <v>209</v>
      </c>
      <c r="C62" s="144"/>
      <c r="D62" s="144"/>
      <c r="E62" s="144"/>
      <c r="F62" s="145"/>
      <c r="G62" s="66">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wGCnLHY3iQzTpVRUXCkGkBh+pupgoUIqgNW1RXJifT8ThW3rslUcSAgiBU8svmrTDGQ5YHnzwYhNud9JyrZ0Wg==" saltValue="7Y9Mqm/5E7P0/ZCztTbgNQ=="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Normal="100"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76</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9" t="s">
        <v>10</v>
      </c>
      <c r="C8" s="150"/>
      <c r="D8" s="150"/>
      <c r="E8" s="150"/>
      <c r="F8" s="150"/>
      <c r="G8" s="152"/>
      <c r="H8" s="1"/>
    </row>
    <row r="9" spans="1:8" x14ac:dyDescent="0.25">
      <c r="A9" s="1"/>
      <c r="B9" s="143" t="s">
        <v>143</v>
      </c>
      <c r="C9" s="144"/>
      <c r="D9" s="144"/>
      <c r="E9" s="144"/>
      <c r="F9" s="145"/>
      <c r="G9" s="94">
        <v>5.6327544779457544E-3</v>
      </c>
      <c r="H9" s="1"/>
    </row>
    <row r="10" spans="1:8" x14ac:dyDescent="0.25">
      <c r="A10" s="1"/>
      <c r="B10" s="32"/>
      <c r="C10" s="33"/>
      <c r="D10" s="33"/>
      <c r="E10" s="33"/>
      <c r="F10" s="33"/>
      <c r="G10" s="20"/>
      <c r="H10" s="1"/>
    </row>
    <row r="11" spans="1:8" ht="25.5" customHeight="1" x14ac:dyDescent="0.25">
      <c r="A11" s="1"/>
      <c r="B11" s="157" t="s">
        <v>241</v>
      </c>
      <c r="C11" s="158"/>
      <c r="D11" s="158"/>
      <c r="E11" s="158"/>
      <c r="F11" s="158"/>
      <c r="G11" s="159"/>
      <c r="H11" s="1"/>
    </row>
    <row r="12" spans="1:8" ht="5.25" customHeight="1" x14ac:dyDescent="0.25">
      <c r="A12" s="18"/>
      <c r="B12" s="160"/>
      <c r="C12" s="161"/>
      <c r="D12" s="161"/>
      <c r="E12" s="161"/>
      <c r="F12" s="161"/>
      <c r="G12" s="162"/>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HcGj6CvO1ZYvj38T67F09UT4H1jz7JOBTXftYEk8/pXH+CMZRGr/6tJXegjMJ4rc9NvY8B5lL16Enr7Rh2Cjdg==" saltValue="RZY88JXKSsdNQ8KG/x+e/w=="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2022-12-06T11:30:58Z</dcterms:modified>
</cp:coreProperties>
</file>