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Allerød AS (S0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37" l="1"/>
  <c r="G11" i="36" l="1"/>
  <c r="G13" i="30" l="1"/>
  <c r="E16" i="40" l="1"/>
  <c r="E12" i="40"/>
  <c r="C14" i="19" l="1"/>
  <c r="E28" i="32" l="1"/>
  <c r="E20" i="32" l="1"/>
  <c r="E12" i="32"/>
  <c r="E32" i="32" s="1"/>
  <c r="C30" i="2" s="1"/>
  <c r="E38" i="32" l="1"/>
  <c r="E16" i="27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<sst xmlns="http://schemas.openxmlformats.org/spreadsheetml/2006/main" count="687" uniqueCount="276">
  <si>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</si>
  <si>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</si>
  <si>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</si>
  <si>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</si>
  <si>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</si>
  <si>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</si>
  <si>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</si>
  <si>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</si>
  <si>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</si>
  <si>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</si>
  <si>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</si>
  <si>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</si>
  <si>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</si>
  <si>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</si>
  <si>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</si>
  <si>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</si>
  <si>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</si>
  <si>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</si>
  <si>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</si>
  <si>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</si>
  <si>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</si>
  <si>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</si>
  <si>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</si>
  <si>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</si>
  <si>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</si>
  <si>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</si>
  <si>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</si>
  <si>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</si>
  <si>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</si>
  <si>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</si>
  <si>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</si>
  <si>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</si>
  <si>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</si>
  <si>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</si>
  <si>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</si>
  <si>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</si>
  <si>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</si>
  <si>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</si>
  <si>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</si>
  <si>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</si>
  <si>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</si>
  <si>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</si>
  <si>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</si>
  <si>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</si>
  <si>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</si>
  <si>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</si>
  <si>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</si>
  <si>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</si>
  <si>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</si>
  <si>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</si>
  <si>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</si>
  <si>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</si>
  <si>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</si>
  <si>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</si>
  <si>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</si>
  <si>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</si>
  <si>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</si>
  <si>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</si>
  <si>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</si>
  <si>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</si>
  <si>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</si>
  <si>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</si>
  <si>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</si>
  <si>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</si>
  <si>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</si>
  <si>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</si>
  <si>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</si>
  <si>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</si>
  <si>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</si>
  <si>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</si>
  <si>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</si>
  <si>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</si>
  <si>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</si>
  <si>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</si>
  <si>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</si>
  <si>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</si>
  <si>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</si>
  <si>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</si>
  <si>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</si>
  <si>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</si>
  <si>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</si>
  <si>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</si>
  <si>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</si>
  <si>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</si>
  <si>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</si>
  <si>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</si>
  <si>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</si>
  <si>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</si>
  <si>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</si>
  <si>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</si>
  <si>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</si>
  <si>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</si>
  <si>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</si>
  <si>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</si>
  <si>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</si>
  <si>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</si>
  <si>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</si>
  <si>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</si>
  <si>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</si>
  <si>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</si>
  <si>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</si>
  <si>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</si>
  <si>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</si>
  <si>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</si>
  <si>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</si>
  <si>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</si>
  <si>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</si>
  <si>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</si>
  <si>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</si>
  <si>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</si>
  <si>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</si>
  <si>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</si>
  <si>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</si>
  <si>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</si>
  <si>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</si>
  <si>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</si>
  <si>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</si>
  <si>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</si>
  <si>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</si>
  <si>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</si>
  <si>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</si>
  <si>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</si>
  <si>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</si>
  <si>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</si>
  <si>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</si>
  <si>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</si>
  <si>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</si>
  <si>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</si>
  <si>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</si>
  <si>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</si>
  <si>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</si>
  <si>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</si>
  <si>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</si>
  <si>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</si>
  <si>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</si>
  <si>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</si>
  <si>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</si>
  <si>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</si>
  <si>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</si>
  <si>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</si>
  <si>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</si>
  <si>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</si>
  <si>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</si>
  <si>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</si>
  <si>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</si>
  <si>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</si>
  <si>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</si>
  <si>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</si>
  <si>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</si>
  <si>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</si>
  <si>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</si>
  <si>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</si>
  <si>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</si>
  <si>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</si>
  <si>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</si>
  <si>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</si>
  <si>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</si>
  <si>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</si>
  <si>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</si>
  <si>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</si>
  <si>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</si>
  <si>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</si>
  <si>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</si>
  <si>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</si>
  <si>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</si>
  <si>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</si>
  <si>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</si>
  <si>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</si>
  <si>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</si>
  <si>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</si>
  <si>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</si>
  <si>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</si>
  <si>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</si>
  <si>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</si>
  <si>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</si>
  <si>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</si>
  <si>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</si>
  <si>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</si>
  <si>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</si>
  <si>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</si>
  <si>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</si>
  <si>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</si>
  <si>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</si>
  <si>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</si>
  <si>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</si>
  <si>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</si>
  <si>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</si>
  <si>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</si>
  <si>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</si>
  <si>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</si>
  <si>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</si>
  <si>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</si>
  <si>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</si>
  <si>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</si>
  <si>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</si>
  <si>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</si>
  <si>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</si>
  <si>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</si>
  <si>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</si>
  <si>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</si>
  <si>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</si>
  <si>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</si>
  <si>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</si>
  <si>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</si>
  <si>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</si>
  <si>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</si>
  <si>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</si>
  <si>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</si>
  <si>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</si>
  <si>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</si>
  <si>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</si>
  <si>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</si>
  <si>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</si>
  <si>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</si>
  <si>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</si>
  <si>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</si>
  <si>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</si>
  <si>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</si>
  <si>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</si>
  <si>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</si>
  <si>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</si>
  <si>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</si>
  <si>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</si>
  <si>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</si>
  <si>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</si>
  <si>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</si>
  <si>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</si>
  <si>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</si>
  <si>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</si>
  <si>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</si>
  <si>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</si>
  <si>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</si>
  <si>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</si>
  <si>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</si>
  <si>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</si>
  <si>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</si>
  <si>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</si>
  <si>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</si>
  <si>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</si>
  <si>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</si>
  <si>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</si>
  <si>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</si>
  <si>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</si>
  <si>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</si>
  <si>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</si>
  <si>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</si>
  <si>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</si>
  <si>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</si>
  <si>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</si>
  <si>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</si>
  <si>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</si>
  <si>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</si>
  <si>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</si>
  <si>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</si>
  <si>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</si>
  <si>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</si>
  <si>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</si>
  <si>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</si>
  <si>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</si>
  <si>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</si>
  <si>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</si>
  <si>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</si>
  <si>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</si>
  <si>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</si>
  <si>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</si>
  <si>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</si>
  <si>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</si>
  <si>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</si>
  <si>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</si>
  <si>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</si>
  <si>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</si>
  <si>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Byggemodninger, ny-kloakering og tilslutninger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</si>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</sst>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0" fillId="0" borderId="0" xfId="0" applyBorder="1" applyProtection="1"/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72" t="s">
        <v>226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43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17</v>
      </c>
      <c r="D14" s="61" t="s">
        <v>254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41</v>
      </c>
      <c r="D15" s="61" t="s">
        <v>107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42</v>
      </c>
      <c r="D16" s="61" t="s">
        <v>214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180</v>
      </c>
      <c r="D17" s="61" t="s">
        <v>215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157</v>
      </c>
      <c r="D18" s="73" t="s">
        <v>135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158</v>
      </c>
      <c r="D19" s="73" t="s">
        <v>136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159</v>
      </c>
      <c r="D21" s="65" t="s">
        <v>13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111</v>
      </c>
      <c r="D22" s="68" t="s">
        <v>255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184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44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160</v>
      </c>
      <c r="D25" s="68" t="s">
        <v>112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161</v>
      </c>
      <c r="D26" s="68" t="s">
        <v>113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162</v>
      </c>
      <c r="D27" s="68" t="s">
        <v>114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216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46</v>
      </c>
      <c r="D29" s="68" t="s">
        <v>45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47</v>
      </c>
      <c r="D30" s="76" t="s">
        <v>155</v>
      </c>
      <c r="E30" s="77"/>
      <c r="F30" s="77"/>
      <c r="G30" s="7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/DoOJq261vaOcyavDb5Dn9iI+ES181KnRFelSv/b6f9jo0E7yCxH4vHcp0jNHsOPICn9/5F8Qe4jT6m7SzdMg==" saltValue="n1JgPjbiYrQNKHh0uQQbo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165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0" t="s">
        <v>196</v>
      </c>
      <c r="C8" s="91"/>
      <c r="D8" s="92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8" t="s">
        <v>267</v>
      </c>
      <c r="C10" s="9">
        <v>560746</v>
      </c>
      <c r="D10" s="14" t="s">
        <v>3</v>
      </c>
      <c r="E10" s="1"/>
      <c r="F10" s="1"/>
    </row>
    <row r="11" spans="1:6" x14ac:dyDescent="0.25">
      <c r="A11" s="1"/>
      <c r="B11" s="58" t="s">
        <v>268</v>
      </c>
      <c r="C11" s="9">
        <v>58062</v>
      </c>
      <c r="D11" s="14" t="s">
        <v>3</v>
      </c>
      <c r="E11" s="1"/>
      <c r="F11" s="1"/>
    </row>
    <row r="12" spans="1:6" x14ac:dyDescent="0.25">
      <c r="A12" s="1"/>
      <c r="B12" s="58" t="s">
        <v>269</v>
      </c>
      <c r="C12" s="9">
        <v>68554</v>
      </c>
      <c r="D12" s="14" t="s">
        <v>3</v>
      </c>
      <c r="E12" s="1"/>
      <c r="F12" s="1"/>
    </row>
    <row r="13" spans="1:6" x14ac:dyDescent="0.25">
      <c r="A13" s="1"/>
      <c r="B13" s="58" t="s">
        <v>270</v>
      </c>
      <c r="C13" s="9">
        <v>242475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929837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952663.41973908001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0" t="s">
        <v>178</v>
      </c>
      <c r="C18" s="91"/>
      <c r="D18" s="92"/>
      <c r="E18" s="1"/>
      <c r="F18" s="1"/>
    </row>
    <row r="19" spans="1:6" x14ac:dyDescent="0.25">
      <c r="A19" s="1"/>
      <c r="B19" s="58" t="s">
        <v>147</v>
      </c>
      <c r="C19" s="9">
        <v>739741</v>
      </c>
      <c r="D19" s="14" t="s">
        <v>3</v>
      </c>
      <c r="E19" s="1"/>
      <c r="F19" s="1"/>
    </row>
    <row r="20" spans="1:6" x14ac:dyDescent="0.25">
      <c r="A20" s="1"/>
      <c r="B20" s="58" t="s">
        <v>148</v>
      </c>
      <c r="C20" s="9">
        <v>739809</v>
      </c>
      <c r="D20" s="14" t="s">
        <v>3</v>
      </c>
      <c r="E20" s="1"/>
      <c r="F20" s="1"/>
    </row>
    <row r="21" spans="1:6" x14ac:dyDescent="0.25">
      <c r="A21" s="1"/>
      <c r="B21" s="58" t="s">
        <v>149</v>
      </c>
      <c r="C21" s="9">
        <v>739878</v>
      </c>
      <c r="D21" s="14" t="s">
        <v>3</v>
      </c>
      <c r="E21" s="1"/>
      <c r="F21" s="1"/>
    </row>
    <row r="22" spans="1:6" x14ac:dyDescent="0.25">
      <c r="A22" s="1"/>
      <c r="B22" s="58" t="s">
        <v>200</v>
      </c>
      <c r="C22" s="9">
        <v>739949</v>
      </c>
      <c r="D22" s="14" t="s">
        <v>3</v>
      </c>
      <c r="E22" s="1"/>
      <c r="F22" s="1"/>
    </row>
    <row r="23" spans="1:6" x14ac:dyDescent="0.25">
      <c r="A23" s="1"/>
      <c r="B23" s="90"/>
      <c r="C23" s="91"/>
      <c r="D23" s="92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0" t="s">
        <v>146</v>
      </c>
      <c r="C26" s="91"/>
      <c r="D26" s="92"/>
      <c r="E26" s="1"/>
      <c r="F26" s="1"/>
    </row>
    <row r="27" spans="1:6" x14ac:dyDescent="0.25">
      <c r="A27" s="1"/>
      <c r="B27" s="58" t="s">
        <v>147</v>
      </c>
      <c r="C27" s="9">
        <v>660953</v>
      </c>
      <c r="D27" s="14" t="s">
        <v>3</v>
      </c>
      <c r="E27" s="1"/>
      <c r="F27" s="1"/>
    </row>
    <row r="28" spans="1:6" x14ac:dyDescent="0.25">
      <c r="A28" s="1"/>
      <c r="B28" s="58" t="s">
        <v>148</v>
      </c>
      <c r="C28" s="9">
        <v>660953</v>
      </c>
      <c r="D28" s="14" t="s">
        <v>3</v>
      </c>
      <c r="E28" s="1"/>
      <c r="F28" s="1"/>
    </row>
    <row r="29" spans="1:6" x14ac:dyDescent="0.25">
      <c r="A29" s="1"/>
      <c r="B29" s="58" t="s">
        <v>149</v>
      </c>
      <c r="C29" s="9">
        <v>660953</v>
      </c>
      <c r="D29" s="14" t="s">
        <v>3</v>
      </c>
      <c r="E29" s="1"/>
      <c r="F29" s="1"/>
    </row>
    <row r="30" spans="1:6" x14ac:dyDescent="0.25">
      <c r="A30" s="1"/>
      <c r="B30" s="58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0"/>
      <c r="C31" s="91"/>
      <c r="D31" s="92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JxC8N8cdeHicpIvIyLTJhTzjwk5cvdRmVfAlNyCeQ+DB+DaJE/Df4ioyt3DoZ59UyzTHDsN62Pxm7BbcmBz/4Q==" saltValue="fb5wKNeGnq1wNbCQI2xuS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56"/>
      <c r="C5" s="56"/>
      <c r="D5" s="56"/>
      <c r="E5" s="56"/>
      <c r="F5" s="56"/>
      <c r="G5" s="1"/>
    </row>
    <row r="6" spans="1:7" ht="15" customHeight="1" x14ac:dyDescent="0.25">
      <c r="A6" s="1"/>
      <c r="B6" s="56"/>
      <c r="C6" s="56"/>
      <c r="D6" s="56"/>
      <c r="E6" s="56"/>
      <c r="F6" s="5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137</v>
      </c>
      <c r="C8" s="91"/>
      <c r="D8" s="91"/>
      <c r="E8" s="91"/>
      <c r="F8" s="92"/>
      <c r="G8" s="1"/>
    </row>
    <row r="9" spans="1:7" x14ac:dyDescent="0.25">
      <c r="A9" s="1"/>
      <c r="B9" s="96" t="s">
        <v>138</v>
      </c>
      <c r="C9" s="97"/>
      <c r="D9" s="98"/>
      <c r="E9" s="9">
        <v>56675457.489205271</v>
      </c>
      <c r="F9" s="14" t="s">
        <v>3</v>
      </c>
      <c r="G9" s="1"/>
    </row>
    <row r="10" spans="1:7" x14ac:dyDescent="0.25">
      <c r="A10" s="1"/>
      <c r="B10" s="96" t="s">
        <v>139</v>
      </c>
      <c r="C10" s="97"/>
      <c r="D10" s="98"/>
      <c r="E10" s="9">
        <v>46052886</v>
      </c>
      <c r="F10" s="14" t="s">
        <v>3</v>
      </c>
      <c r="G10" s="1"/>
    </row>
    <row r="11" spans="1:7" x14ac:dyDescent="0.25">
      <c r="A11" s="1"/>
      <c r="B11" s="96" t="s">
        <v>40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94" t="s">
        <v>140</v>
      </c>
      <c r="C12" s="95"/>
      <c r="D12" s="105"/>
      <c r="E12" s="10">
        <f>E9-(E10-E11)</f>
        <v>10622571.489205271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1" t="s">
        <v>156</v>
      </c>
      <c r="C14" s="82"/>
      <c r="D14" s="82"/>
      <c r="E14" s="82"/>
      <c r="F14" s="83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52</v>
      </c>
      <c r="C16" s="91"/>
      <c r="D16" s="91"/>
      <c r="E16" s="91"/>
      <c r="F16" s="92"/>
      <c r="G16" s="1"/>
    </row>
    <row r="17" spans="1:7" x14ac:dyDescent="0.25">
      <c r="A17" s="1"/>
      <c r="B17" s="96" t="s">
        <v>53</v>
      </c>
      <c r="C17" s="97"/>
      <c r="D17" s="98"/>
      <c r="E17" s="9">
        <v>51898417.093055256</v>
      </c>
      <c r="F17" s="14" t="s">
        <v>3</v>
      </c>
      <c r="G17" s="1"/>
    </row>
    <row r="18" spans="1:7" x14ac:dyDescent="0.25">
      <c r="A18" s="1"/>
      <c r="B18" s="96" t="s">
        <v>54</v>
      </c>
      <c r="C18" s="97"/>
      <c r="D18" s="98"/>
      <c r="E18" s="9">
        <v>46629746</v>
      </c>
      <c r="F18" s="14" t="s">
        <v>3</v>
      </c>
      <c r="G18" s="1"/>
    </row>
    <row r="19" spans="1:7" x14ac:dyDescent="0.25">
      <c r="A19" s="1"/>
      <c r="B19" s="96" t="s">
        <v>40</v>
      </c>
      <c r="C19" s="97"/>
      <c r="D19" s="98"/>
      <c r="E19" s="9">
        <v>0</v>
      </c>
      <c r="F19" s="14" t="s">
        <v>3</v>
      </c>
      <c r="G19" s="1"/>
    </row>
    <row r="20" spans="1:7" x14ac:dyDescent="0.25">
      <c r="A20" s="1"/>
      <c r="B20" s="94" t="s">
        <v>55</v>
      </c>
      <c r="C20" s="95"/>
      <c r="D20" s="105"/>
      <c r="E20" s="10">
        <f>E17-(E18-E19)</f>
        <v>5268671.0930552557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1" t="s">
        <v>218</v>
      </c>
      <c r="C22" s="82"/>
      <c r="D22" s="82"/>
      <c r="E22" s="82"/>
      <c r="F22" s="83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245</v>
      </c>
      <c r="C24" s="91"/>
      <c r="D24" s="91"/>
      <c r="E24" s="91"/>
      <c r="F24" s="92"/>
      <c r="G24" s="1"/>
    </row>
    <row r="25" spans="1:7" x14ac:dyDescent="0.25">
      <c r="A25" s="1"/>
      <c r="B25" s="96" t="s">
        <v>246</v>
      </c>
      <c r="C25" s="97"/>
      <c r="D25" s="98"/>
      <c r="E25" s="9">
        <v>45091323.462545715</v>
      </c>
      <c r="F25" s="14" t="s">
        <v>3</v>
      </c>
      <c r="G25" s="1"/>
    </row>
    <row r="26" spans="1:7" x14ac:dyDescent="0.25">
      <c r="A26" s="1"/>
      <c r="B26" s="96" t="s">
        <v>247</v>
      </c>
      <c r="C26" s="97"/>
      <c r="D26" s="98"/>
      <c r="E26" s="9">
        <v>51732672</v>
      </c>
      <c r="F26" s="14" t="s">
        <v>3</v>
      </c>
      <c r="G26" s="1"/>
    </row>
    <row r="27" spans="1:7" x14ac:dyDescent="0.25">
      <c r="A27" s="1"/>
      <c r="B27" s="96" t="s">
        <v>40</v>
      </c>
      <c r="C27" s="97"/>
      <c r="D27" s="98"/>
      <c r="E27" s="9">
        <v>0</v>
      </c>
      <c r="F27" s="14" t="s">
        <v>3</v>
      </c>
      <c r="G27" s="1"/>
    </row>
    <row r="28" spans="1:7" x14ac:dyDescent="0.25">
      <c r="A28" s="1"/>
      <c r="B28" s="94" t="s">
        <v>248</v>
      </c>
      <c r="C28" s="95"/>
      <c r="D28" s="105"/>
      <c r="E28" s="10">
        <f>E25-(E26-E27)</f>
        <v>-6641348.5374542847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0" t="s">
        <v>250</v>
      </c>
      <c r="C31" s="91"/>
      <c r="D31" s="91"/>
      <c r="E31" s="91"/>
      <c r="F31" s="92"/>
      <c r="G31" s="1"/>
    </row>
    <row r="32" spans="1:7" x14ac:dyDescent="0.25">
      <c r="A32" s="1"/>
      <c r="B32" s="94" t="s">
        <v>251</v>
      </c>
      <c r="C32" s="95"/>
      <c r="D32" s="105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0"/>
      <c r="C33" s="91"/>
      <c r="D33" s="91"/>
      <c r="E33" s="91"/>
      <c r="F33" s="92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0" t="s">
        <v>249</v>
      </c>
      <c r="C35" s="91"/>
      <c r="D35" s="91"/>
      <c r="E35" s="91"/>
      <c r="F35" s="92"/>
      <c r="G35" s="1"/>
    </row>
    <row r="36" spans="1:7" x14ac:dyDescent="0.25">
      <c r="A36" s="1"/>
      <c r="B36" s="106" t="s">
        <v>274</v>
      </c>
      <c r="C36" s="107"/>
      <c r="D36" s="108"/>
      <c r="E36" s="9">
        <v>1</v>
      </c>
      <c r="F36" s="14"/>
      <c r="G36" s="1"/>
    </row>
    <row r="37" spans="1:7" x14ac:dyDescent="0.25">
      <c r="A37" s="1"/>
      <c r="B37" s="106" t="s">
        <v>275</v>
      </c>
      <c r="C37" s="107"/>
      <c r="D37" s="108"/>
      <c r="E37" s="9">
        <v>1</v>
      </c>
      <c r="F37" s="14"/>
      <c r="G37" s="1"/>
    </row>
    <row r="38" spans="1:7" x14ac:dyDescent="0.25">
      <c r="A38" s="1"/>
      <c r="B38" s="106" t="s">
        <v>252</v>
      </c>
      <c r="C38" s="107"/>
      <c r="D38" s="108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6" t="s">
        <v>152</v>
      </c>
      <c r="C39" s="107"/>
      <c r="D39" s="108"/>
      <c r="E39" s="9">
        <v>2</v>
      </c>
      <c r="F39" s="14" t="s">
        <v>21</v>
      </c>
      <c r="G39" s="1"/>
    </row>
    <row r="40" spans="1:7" x14ac:dyDescent="0.25">
      <c r="A40" s="1"/>
      <c r="B40" s="112" t="s">
        <v>253</v>
      </c>
      <c r="C40" s="112"/>
      <c r="D40" s="112"/>
      <c r="E40" s="10">
        <f>E38/E39</f>
        <v>0</v>
      </c>
      <c r="F40" s="17" t="s">
        <v>3</v>
      </c>
      <c r="G40" s="1"/>
    </row>
    <row r="41" spans="1:7" x14ac:dyDescent="0.25">
      <c r="A41" s="1"/>
      <c r="B41" s="109"/>
      <c r="C41" s="110"/>
      <c r="D41" s="110"/>
      <c r="E41" s="110"/>
      <c r="F41" s="11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47"/>
      <c r="B45" s="47"/>
      <c r="C45" s="47"/>
      <c r="D45" s="47"/>
      <c r="E45" s="47"/>
      <c r="F45" s="47"/>
      <c r="G45" s="47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rDm+yGCIpiepxPrYWEb6ila9R/MiQAifbx9+e8F36KbKQ3dPQXUezLYnd2YX+noWPly6Dp9qZAch+s6+T/zAWQ==" saltValue="WN1zaOvDv7E6wyvkw3JmI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201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0" t="s">
        <v>202</v>
      </c>
      <c r="C9" s="91"/>
      <c r="D9" s="91"/>
      <c r="E9" s="91"/>
      <c r="F9" s="92"/>
      <c r="G9" s="1"/>
    </row>
    <row r="10" spans="1:7" x14ac:dyDescent="0.25">
      <c r="A10" s="1"/>
      <c r="B10" s="81" t="s">
        <v>150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6" t="s">
        <v>203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94" t="s">
        <v>151</v>
      </c>
      <c r="C12" s="95"/>
      <c r="D12" s="105"/>
      <c r="E12" s="10">
        <f>E11-E10</f>
        <v>0</v>
      </c>
      <c r="F12" s="11" t="s">
        <v>3</v>
      </c>
      <c r="G12" s="1"/>
    </row>
    <row r="13" spans="1:7" x14ac:dyDescent="0.25">
      <c r="A13" s="1"/>
      <c r="B13" s="90" t="s">
        <v>134</v>
      </c>
      <c r="C13" s="91"/>
      <c r="D13" s="91"/>
      <c r="E13" s="91"/>
      <c r="F13" s="92"/>
      <c r="G13" s="1"/>
    </row>
    <row r="14" spans="1:7" x14ac:dyDescent="0.25">
      <c r="A14" s="1"/>
      <c r="B14" s="96" t="s">
        <v>204</v>
      </c>
      <c r="C14" s="97"/>
      <c r="D14" s="98"/>
      <c r="E14" s="9">
        <v>736747</v>
      </c>
      <c r="F14" s="8" t="s">
        <v>3</v>
      </c>
      <c r="G14" s="1"/>
    </row>
    <row r="15" spans="1:7" x14ac:dyDescent="0.25">
      <c r="A15" s="1"/>
      <c r="B15" s="81" t="s">
        <v>205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94" t="s">
        <v>151</v>
      </c>
      <c r="C16" s="95"/>
      <c r="D16" s="105"/>
      <c r="E16" s="10">
        <f>E15-E14</f>
        <v>-736747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-736747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HLvEXdvwmsRWCmKT9gGvhr+C6mKZD+S+XAb4XUv8mgR/BaOKJ20EE4HmWFrTS9ONqrFZrCklW/ep2Zmq2UfEw==" saltValue="glxawySCeUSKepSe6WTWQ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236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237</v>
      </c>
      <c r="C8" s="91"/>
      <c r="D8" s="91"/>
      <c r="E8" s="91"/>
      <c r="F8" s="91"/>
      <c r="G8" s="91"/>
      <c r="H8" s="9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60" t="s">
        <v>273</v>
      </c>
      <c r="C10" s="49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0" t="s">
        <v>238</v>
      </c>
      <c r="C11" s="91"/>
      <c r="D11" s="9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Ibm3gJXRJBh77b0vRgS0fffVTXvArKdsxjlnu2/8qRAGHCxPkdfauUPRthDl6DBVGK3wBvaPqhDzBIQxL20Jw==" saltValue="aGJhUhbxayoPl/x2HGWGN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168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7"/>
      <c r="E9" s="55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0" t="s">
        <v>271</v>
      </c>
      <c r="C11" s="22">
        <v>36890</v>
      </c>
      <c r="D11" s="14" t="s">
        <v>3</v>
      </c>
      <c r="E11" s="9">
        <f>263746+167162</f>
        <v>430908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36890</v>
      </c>
      <c r="D12" s="13" t="s">
        <v>3</v>
      </c>
      <c r="E12" s="12">
        <f>SUM(E10:E11)</f>
        <v>430908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37340.057999999997</v>
      </c>
      <c r="D13" s="13" t="s">
        <v>3</v>
      </c>
      <c r="E13" s="12">
        <f>E12*(1+'Fane 14. Nøgletal'!C13)</f>
        <v>436165.07760000002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LBfJeCYAUQs6zyM9DJySEI/qle/dlZAQPRi2iGnSz/cB2X0MWwKNM1T6J176oso2RZjWUrK/f8Q8ylVPPAG+g==" saltValue="gZyN0EwA+eF//Jw5msGw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167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141</v>
      </c>
      <c r="C8" s="91"/>
      <c r="D8" s="91"/>
      <c r="E8" s="91"/>
      <c r="F8" s="92"/>
      <c r="G8" s="1"/>
    </row>
    <row r="9" spans="1:7" x14ac:dyDescent="0.25">
      <c r="A9" s="1"/>
      <c r="B9" s="55" t="s">
        <v>18</v>
      </c>
      <c r="C9" s="55" t="s">
        <v>12</v>
      </c>
      <c r="D9" s="57"/>
      <c r="E9" s="55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100283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100283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-2005.66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-2757.7824999999998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97864.451833938292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142</v>
      </c>
      <c r="C16" s="91"/>
      <c r="D16" s="91"/>
      <c r="E16" s="91"/>
      <c r="F16" s="92"/>
      <c r="G16" s="1"/>
    </row>
    <row r="17" spans="1:7" x14ac:dyDescent="0.25">
      <c r="A17" s="1"/>
      <c r="B17" s="55" t="s">
        <v>18</v>
      </c>
      <c r="C17" s="55" t="s">
        <v>12</v>
      </c>
      <c r="D17" s="57"/>
      <c r="E17" s="55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143</v>
      </c>
      <c r="C24" s="91"/>
      <c r="D24" s="91"/>
      <c r="E24" s="91"/>
      <c r="F24" s="92"/>
      <c r="G24" s="1"/>
    </row>
    <row r="25" spans="1:7" x14ac:dyDescent="0.25">
      <c r="A25" s="1"/>
      <c r="B25" s="55" t="s">
        <v>18</v>
      </c>
      <c r="C25" s="55" t="s">
        <v>12</v>
      </c>
      <c r="D25" s="57"/>
      <c r="E25" s="55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0" t="s">
        <v>223</v>
      </c>
      <c r="C32" s="91"/>
      <c r="D32" s="91"/>
      <c r="E32" s="91"/>
      <c r="F32" s="92"/>
      <c r="G32" s="1"/>
    </row>
    <row r="33" spans="1:7" x14ac:dyDescent="0.25">
      <c r="A33" s="1"/>
      <c r="B33" s="55" t="s">
        <v>18</v>
      </c>
      <c r="C33" s="55" t="s">
        <v>12</v>
      </c>
      <c r="D33" s="57"/>
      <c r="E33" s="55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FueKOkKqKOzIeQaQF25c6lpNS50SgZ6c9PcTVvGy8/yQXbsMFwFt6olKBtAS18/mH3WC0Qh2S9NhQbiSYQwHA==" saltValue="Pt4e5qFpXTnSfF0MNXGj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169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125</v>
      </c>
      <c r="C8" s="91"/>
      <c r="D8" s="91"/>
      <c r="E8" s="91"/>
      <c r="F8" s="92"/>
      <c r="G8" s="1"/>
    </row>
    <row r="9" spans="1:7" x14ac:dyDescent="0.25">
      <c r="A9" s="1"/>
      <c r="B9" s="113" t="s">
        <v>207</v>
      </c>
      <c r="C9" s="114"/>
      <c r="D9" s="115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29</v>
      </c>
      <c r="C11" s="85"/>
      <c r="D11" s="86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0" t="s">
        <v>128</v>
      </c>
      <c r="C12" s="91"/>
      <c r="D12" s="92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126</v>
      </c>
      <c r="C14" s="91"/>
      <c r="D14" s="91"/>
      <c r="E14" s="91"/>
      <c r="F14" s="92"/>
      <c r="G14" s="1"/>
    </row>
    <row r="15" spans="1:7" x14ac:dyDescent="0.25">
      <c r="A15" s="1"/>
      <c r="B15" s="113" t="s">
        <v>207</v>
      </c>
      <c r="C15" s="114"/>
      <c r="D15" s="115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29</v>
      </c>
      <c r="C17" s="85"/>
      <c r="D17" s="86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0" t="s">
        <v>129</v>
      </c>
      <c r="C18" s="91"/>
      <c r="D18" s="92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127</v>
      </c>
      <c r="C20" s="91"/>
      <c r="D20" s="91"/>
      <c r="E20" s="91"/>
      <c r="F20" s="92"/>
      <c r="G20" s="1"/>
    </row>
    <row r="21" spans="1:7" x14ac:dyDescent="0.25">
      <c r="A21" s="1"/>
      <c r="B21" s="113" t="s">
        <v>207</v>
      </c>
      <c r="C21" s="114"/>
      <c r="D21" s="115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29</v>
      </c>
      <c r="C23" s="85"/>
      <c r="D23" s="86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0" t="s">
        <v>130</v>
      </c>
      <c r="C24" s="91"/>
      <c r="D24" s="92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208</v>
      </c>
      <c r="C26" s="91"/>
      <c r="D26" s="91"/>
      <c r="E26" s="91"/>
      <c r="F26" s="92"/>
      <c r="G26" s="1"/>
    </row>
    <row r="27" spans="1:7" x14ac:dyDescent="0.25">
      <c r="A27" s="1"/>
      <c r="B27" s="113" t="s">
        <v>207</v>
      </c>
      <c r="C27" s="114"/>
      <c r="D27" s="115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29</v>
      </c>
      <c r="C29" s="85"/>
      <c r="D29" s="86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0" t="s">
        <v>209</v>
      </c>
      <c r="C30" s="91"/>
      <c r="D30" s="92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eaWl4s9+OcHJ3C3LCTLWdYtTTY3p8j8BgcCdNACvx9WqW17NWNFTXx0Y5T+hkrKxwTcvq360wAOAy846BTHeg==" saltValue="ntHUAQUFnawVIoatH9ijP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210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211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lolDjyrxLrovybR2q8I5rKM48B9wMfikNAuXEx2cZYGjR6jsN7FQwDoIQV1aKzamrZZ+PkwCFxlFCZ2J/qfrQ==" saltValue="5Bh71JqbToeC//K0ZjMhV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166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132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131</v>
      </c>
      <c r="C14" s="91"/>
      <c r="D14" s="91"/>
      <c r="E14" s="91"/>
      <c r="F14" s="92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133</v>
      </c>
      <c r="C20" s="91"/>
      <c r="D20" s="91"/>
      <c r="E20" s="91"/>
      <c r="F20" s="92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227</v>
      </c>
      <c r="C26" s="91"/>
      <c r="D26" s="91"/>
      <c r="E26" s="91"/>
      <c r="F26" s="92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UZ8SJ3HPopGyslv8ff4FR3Gi0yvXfVRZJkFlu6DBAfHdRdlm4Puta/D8TkVB/b8yQj+Kx2gU+OoA4sEnN+kow==" saltValue="/LNsv6Vx9ZSbkcochAknw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257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8" t="s">
        <v>170</v>
      </c>
      <c r="C9" s="26">
        <v>1.2699999999999999E-2</v>
      </c>
      <c r="D9" s="1"/>
    </row>
    <row r="10" spans="1:4" x14ac:dyDescent="0.25">
      <c r="A10" s="1"/>
      <c r="B10" s="58" t="s">
        <v>171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8" t="s">
        <v>173</v>
      </c>
      <c r="C18" s="23">
        <v>9.1000000000000004E-3</v>
      </c>
      <c r="D18" s="1"/>
    </row>
    <row r="19" spans="1:4" x14ac:dyDescent="0.25">
      <c r="A19" s="1"/>
      <c r="B19" s="58" t="s">
        <v>174</v>
      </c>
      <c r="C19" s="23">
        <v>1.77E-2</v>
      </c>
      <c r="D19" s="1"/>
    </row>
    <row r="20" spans="1:4" x14ac:dyDescent="0.25">
      <c r="A20" s="1"/>
      <c r="B20" s="58" t="s">
        <v>175</v>
      </c>
      <c r="C20" s="23">
        <v>8.6999999999999994E-3</v>
      </c>
      <c r="D20" s="1"/>
    </row>
    <row r="21" spans="1:4" x14ac:dyDescent="0.25">
      <c r="A21" s="1"/>
      <c r="B21" s="58" t="s">
        <v>176</v>
      </c>
      <c r="C21" s="41">
        <v>2.8400000000000002E-2</v>
      </c>
      <c r="D21" s="1"/>
    </row>
    <row r="22" spans="1:4" x14ac:dyDescent="0.25">
      <c r="A22" s="1"/>
      <c r="B22" s="58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8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naHgSyP63oNGU1v2QkpH4LPTtABUxLtba8osT+Gd8MCghYeUA+MS/laNlyPW8yy8A7Z1lZ6if0uJI2uzZXHeA==" saltValue="5kCJiQYaeIZiX+/mMRbEe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185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42772998.530021645</v>
      </c>
      <c r="D9" s="8" t="s">
        <v>3</v>
      </c>
      <c r="E9" s="1"/>
    </row>
    <row r="10" spans="1:5" ht="17.100000000000001" customHeight="1" x14ac:dyDescent="0.25">
      <c r="A10" s="1"/>
      <c r="B10" s="52" t="s">
        <v>48</v>
      </c>
      <c r="C10" s="7">
        <f>'Fane 10.1. Varige tillæg'!C13</f>
        <v>37340.057999999997</v>
      </c>
      <c r="D10" s="8" t="s">
        <v>3</v>
      </c>
      <c r="E10" s="1"/>
    </row>
    <row r="11" spans="1:5" ht="17.100000000000001" customHeight="1" x14ac:dyDescent="0.25">
      <c r="A11" s="1"/>
      <c r="B11" s="52" t="s">
        <v>49</v>
      </c>
      <c r="C11" s="9">
        <f>'Fane 10.1. Varige tillæg'!E13</f>
        <v>436165.07760000002</v>
      </c>
      <c r="D11" s="8" t="s">
        <v>3</v>
      </c>
      <c r="E11" s="1"/>
    </row>
    <row r="12" spans="1:5" ht="17.100000000000001" customHeight="1" x14ac:dyDescent="0.25">
      <c r="A12" s="1"/>
      <c r="B12" s="52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C9*'Fane 14. Nøgletal'!C12+SUM(C10:C15)*'Fane 14. Nøgletal'!C13</f>
        <v>848404.83369574638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-881898.1699863479</v>
      </c>
      <c r="D17" s="8" t="s">
        <v>3</v>
      </c>
      <c r="E17" s="1"/>
    </row>
    <row r="18" spans="1:5" ht="17.100000000000001" customHeight="1" x14ac:dyDescent="0.25">
      <c r="A18" s="1"/>
      <c r="B18" s="52" t="s">
        <v>29</v>
      </c>
      <c r="C18" s="9">
        <f>-'Fane 4.1. Gen. krav - drift'!G34</f>
        <v>-305086.1695454414</v>
      </c>
      <c r="D18" s="8" t="s">
        <v>3</v>
      </c>
      <c r="E18" s="1"/>
    </row>
    <row r="19" spans="1:5" ht="17.100000000000001" customHeight="1" x14ac:dyDescent="0.25">
      <c r="A19" s="1"/>
      <c r="B19" s="52" t="s">
        <v>30</v>
      </c>
      <c r="C19" s="9">
        <f>-'Fane 4.2. Gen. krav - anlæg'!G31</f>
        <v>-894484.32969737367</v>
      </c>
      <c r="D19" s="8" t="s">
        <v>3</v>
      </c>
      <c r="E19" s="1"/>
    </row>
    <row r="20" spans="1:5" ht="17.100000000000001" customHeight="1" x14ac:dyDescent="0.25">
      <c r="A20" s="1"/>
      <c r="B20" s="53" t="s">
        <v>22</v>
      </c>
      <c r="C20" s="10">
        <f>SUM(C9:C19)</f>
        <v>42013439.830088235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2353357.4197390801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3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2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110</v>
      </c>
      <c r="C27" s="9">
        <f>'Fane 10.2. Engangstillæg'!E14</f>
        <v>97864.451833938292</v>
      </c>
      <c r="D27" s="8" t="s">
        <v>3</v>
      </c>
      <c r="E27" s="1"/>
    </row>
    <row r="28" spans="1:5" x14ac:dyDescent="0.25">
      <c r="A28" s="1"/>
      <c r="B28" s="53" t="s">
        <v>115</v>
      </c>
      <c r="C28" s="10">
        <f>SUM(C26:C27)</f>
        <v>97864.451833938292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-736747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43727914.701661251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3xzVrCIZFzzdmdJDQoi9Z0ZISs9Mn5I7gVSwWGO4E14hDCovTLnRqyebTPUAzrmHnem+YNLsEvEjDb21EYab4g==" saltValue="k63+6gj6w2Z6hI9OYTrUq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188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42013439.830088235</v>
      </c>
      <c r="D9" s="8" t="s">
        <v>3</v>
      </c>
      <c r="E9" s="1"/>
    </row>
    <row r="10" spans="1:5" ht="15" customHeight="1" x14ac:dyDescent="0.25">
      <c r="A10" s="1"/>
      <c r="B10" s="5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512563.96592707653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-850520.07592030626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-302632.05639761785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-852195.90016580583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40520655.763531588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2365047.913459897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3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2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3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42885703.676991485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I16aZfFUVV10+nzCIiieXdwPBhBPSS270gitLd21PWbQpqFRb/Co+zWpWcdAvtrum0mqsDY1vauKvOJb9gMBA==" saltValue="e23q+kgueRgLJoCps9T1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189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40520655.763531588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494352.0003150854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-820300.15527693345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-300197.68413595541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-838871.39116876328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39055638.533265017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2376881.2016041074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3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2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3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41432519.734869123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qdO4Qd6p3wb0QjV849ggGc9l/BTkbRBhc4c1lj/JBD/bFzgQ6loix20iJHh6efas+8RiZS0+QeKg8JqA8Shyg==" saltValue="JRhUSUxejIaviiOPveFu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191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39055638.533265017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476478.79010583326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-790642.34646741708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-297782.89396476583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-825755.21753214404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37617936.865406521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1727907.0140636778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3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2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3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39345843.879470199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jH7h3uy12r9uzC5hRnGAtxv3sKvAHdKVjC4pxeCSMS8fcT6Ld2wXIdIIiA3WOv2zV4ADJJ6Jx6Z3oSA7KZNw==" saltValue="oWC2x4UyazB0sGN36iRdP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194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1" t="s">
        <v>25</v>
      </c>
      <c r="C9" s="82"/>
      <c r="D9" s="83"/>
      <c r="E9" s="7">
        <v>42303072.552105628</v>
      </c>
      <c r="F9" s="8" t="s">
        <v>3</v>
      </c>
      <c r="G9" s="1"/>
    </row>
    <row r="10" spans="1:7" ht="15" customHeight="1" x14ac:dyDescent="0.25">
      <c r="A10" s="1"/>
      <c r="B10" s="84" t="s">
        <v>48</v>
      </c>
      <c r="C10" s="85"/>
      <c r="D10" s="86"/>
      <c r="E10" s="7">
        <v>260936.13150000002</v>
      </c>
      <c r="F10" s="8" t="s">
        <v>3</v>
      </c>
      <c r="G10" s="1"/>
    </row>
    <row r="11" spans="1:7" ht="15" customHeight="1" x14ac:dyDescent="0.25">
      <c r="A11" s="1"/>
      <c r="B11" s="84" t="s">
        <v>49</v>
      </c>
      <c r="C11" s="85"/>
      <c r="D11" s="86"/>
      <c r="E11" s="9">
        <v>1434656.3848980002</v>
      </c>
      <c r="F11" s="8" t="s">
        <v>3</v>
      </c>
      <c r="G11" s="1"/>
    </row>
    <row r="12" spans="1:7" ht="15" customHeight="1" x14ac:dyDescent="0.25">
      <c r="A12" s="1"/>
      <c r="B12" s="84" t="s">
        <v>32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31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34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33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20</v>
      </c>
      <c r="C16" s="82"/>
      <c r="D16" s="83"/>
      <c r="E16" s="9">
        <f>SUM(E9:E15)*'Fane 14. Nøgletal'!C12</f>
        <v>866773.70184952137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krav'!G11</f>
        <v>-897308.77540706296</v>
      </c>
      <c r="F17" s="8" t="s">
        <v>3</v>
      </c>
      <c r="G17" s="1"/>
    </row>
    <row r="18" spans="1:7" ht="15" customHeight="1" x14ac:dyDescent="0.25">
      <c r="A18" s="1"/>
      <c r="B18" s="81" t="s">
        <v>29</v>
      </c>
      <c r="C18" s="82"/>
      <c r="D18" s="83"/>
      <c r="E18" s="9">
        <f>-'Fane 4.1. Gen. krav - drift'!G28</f>
        <v>-304541.60928813537</v>
      </c>
      <c r="F18" s="8" t="s">
        <v>3</v>
      </c>
      <c r="G18" s="1"/>
    </row>
    <row r="19" spans="1:7" ht="15" customHeight="1" x14ac:dyDescent="0.25">
      <c r="A19" s="1"/>
      <c r="B19" s="81" t="s">
        <v>30</v>
      </c>
      <c r="C19" s="82"/>
      <c r="D19" s="83"/>
      <c r="E19" s="9">
        <f>-'Fane 4.2. Gen. krav - anlæg'!G25</f>
        <v>-890589.85563630611</v>
      </c>
      <c r="F19" s="8" t="s">
        <v>3</v>
      </c>
      <c r="G19" s="1"/>
    </row>
    <row r="20" spans="1:7" ht="15" customHeight="1" x14ac:dyDescent="0.25">
      <c r="A20" s="1"/>
      <c r="B20" s="53" t="s">
        <v>22</v>
      </c>
      <c r="C20" s="54"/>
      <c r="D20" s="59"/>
      <c r="E20" s="10">
        <f>SUM(E9:E19)</f>
        <v>42772998.530021645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89"/>
      <c r="E22" s="10">
        <v>1597945.2035525199</v>
      </c>
      <c r="F22" s="11" t="s">
        <v>3</v>
      </c>
      <c r="G22" s="1"/>
    </row>
    <row r="23" spans="1:7" ht="15" customHeight="1" x14ac:dyDescent="0.25">
      <c r="A23" s="1"/>
      <c r="B23" s="90" t="s">
        <v>114</v>
      </c>
      <c r="C23" s="91"/>
      <c r="D23" s="92"/>
      <c r="E23" s="32"/>
      <c r="F23" s="32"/>
      <c r="G23" s="1"/>
    </row>
    <row r="24" spans="1:7" ht="15" customHeight="1" x14ac:dyDescent="0.25">
      <c r="A24" s="1"/>
      <c r="B24" s="53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4" t="s">
        <v>109</v>
      </c>
      <c r="C26" s="85"/>
      <c r="D26" s="86"/>
      <c r="E26" s="9">
        <v>0</v>
      </c>
      <c r="F26" s="8" t="s">
        <v>3</v>
      </c>
      <c r="G26" s="1"/>
    </row>
    <row r="27" spans="1:7" ht="15" customHeight="1" x14ac:dyDescent="0.25">
      <c r="A27" s="1"/>
      <c r="B27" s="84" t="s">
        <v>110</v>
      </c>
      <c r="C27" s="85"/>
      <c r="D27" s="85"/>
      <c r="E27" s="9">
        <v>5121759.0596554801</v>
      </c>
      <c r="F27" s="8" t="s">
        <v>3</v>
      </c>
      <c r="G27" s="1"/>
    </row>
    <row r="28" spans="1:7" ht="15" customHeight="1" x14ac:dyDescent="0.25">
      <c r="A28" s="1"/>
      <c r="B28" s="94" t="s">
        <v>115</v>
      </c>
      <c r="C28" s="95"/>
      <c r="D28" s="95"/>
      <c r="E28" s="46">
        <v>4873865.921168155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89"/>
      <c r="E34" s="10">
        <v>-712718.93139871722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48532090.723343603</v>
      </c>
      <c r="F35" s="13" t="s">
        <v>3</v>
      </c>
      <c r="G35" s="1"/>
    </row>
    <row r="36" spans="1:7" ht="27" customHeight="1" x14ac:dyDescent="0.25">
      <c r="A36" s="1"/>
      <c r="B36" s="81" t="s">
        <v>218</v>
      </c>
      <c r="C36" s="82"/>
      <c r="D36" s="82"/>
      <c r="E36" s="82"/>
      <c r="F36" s="8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kKPSbGdmEo9pLwTI6InrzYHokS5uvCYO0fNJTQthgAOCdvmqXYLNps/OSEFbVxf+ysFo/odL9wuvwicKSRy7Ew==" saltValue="nrcm3SDdw4pheoMqV6SEY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3" t="s">
        <v>163</v>
      </c>
      <c r="C2" s="93"/>
      <c r="D2" s="93"/>
      <c r="E2" s="93"/>
      <c r="F2" s="93"/>
      <c r="G2" s="93"/>
      <c r="H2" s="93"/>
      <c r="I2" s="1"/>
    </row>
    <row r="3" spans="1:9" ht="28.5" customHeight="1" x14ac:dyDescent="0.2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0" t="s">
        <v>67</v>
      </c>
      <c r="C5" s="91"/>
      <c r="D5" s="91"/>
      <c r="E5" s="91"/>
      <c r="F5" s="91"/>
      <c r="G5" s="91"/>
      <c r="H5" s="92"/>
      <c r="I5" s="1"/>
    </row>
    <row r="6" spans="1:9" x14ac:dyDescent="0.25">
      <c r="A6" s="1"/>
      <c r="B6" s="96" t="s">
        <v>56</v>
      </c>
      <c r="C6" s="97"/>
      <c r="D6" s="97"/>
      <c r="E6" s="97"/>
      <c r="F6" s="98"/>
      <c r="G6" s="24">
        <v>15067392</v>
      </c>
      <c r="H6" s="14" t="s">
        <v>3</v>
      </c>
      <c r="I6" s="1"/>
    </row>
    <row r="7" spans="1:9" x14ac:dyDescent="0.25">
      <c r="A7" s="1"/>
      <c r="B7" s="81" t="s">
        <v>181</v>
      </c>
      <c r="C7" s="82"/>
      <c r="D7" s="82"/>
      <c r="E7" s="82"/>
      <c r="F7" s="83"/>
      <c r="G7" s="48">
        <v>0</v>
      </c>
      <c r="H7" s="14" t="s">
        <v>3</v>
      </c>
      <c r="I7" s="1"/>
    </row>
    <row r="8" spans="1:9" x14ac:dyDescent="0.25">
      <c r="A8" s="1"/>
      <c r="B8" s="96" t="s">
        <v>57</v>
      </c>
      <c r="C8" s="97"/>
      <c r="D8" s="97"/>
      <c r="E8" s="97"/>
      <c r="F8" s="98"/>
      <c r="G8" s="24">
        <f>SUM(G6:G7)*'Fane 14. Nøgletal'!C27</f>
        <v>301347.84000000003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0" t="s">
        <v>68</v>
      </c>
      <c r="C11" s="91"/>
      <c r="D11" s="91"/>
      <c r="E11" s="91"/>
      <c r="F11" s="91"/>
      <c r="G11" s="91"/>
      <c r="H11" s="92"/>
      <c r="I11" s="1"/>
    </row>
    <row r="12" spans="1:9" x14ac:dyDescent="0.25">
      <c r="A12" s="1"/>
      <c r="B12" s="96" t="s">
        <v>58</v>
      </c>
      <c r="C12" s="97"/>
      <c r="D12" s="97"/>
      <c r="E12" s="97"/>
      <c r="F12" s="98"/>
      <c r="G12" s="24">
        <f>(G6-G8)*(1+'Fane 14. Nøgletal'!C10)</f>
        <v>15024449.932800001</v>
      </c>
      <c r="H12" s="14" t="s">
        <v>3</v>
      </c>
      <c r="I12" s="1"/>
    </row>
    <row r="13" spans="1:9" ht="15" customHeight="1" x14ac:dyDescent="0.25">
      <c r="A13" s="1"/>
      <c r="B13" s="96" t="s">
        <v>182</v>
      </c>
      <c r="C13" s="97"/>
      <c r="D13" s="97"/>
      <c r="E13" s="97"/>
      <c r="F13" s="98"/>
      <c r="G13" s="24">
        <f>(15057303.0874715-G6)*1.0175</f>
        <v>-10265.46849774871</v>
      </c>
      <c r="H13" s="14" t="s">
        <v>3</v>
      </c>
      <c r="I13" s="1"/>
    </row>
    <row r="14" spans="1:9" x14ac:dyDescent="0.25">
      <c r="A14" s="1"/>
      <c r="B14" s="81" t="s">
        <v>179</v>
      </c>
      <c r="C14" s="82"/>
      <c r="D14" s="82"/>
      <c r="E14" s="82"/>
      <c r="F14" s="83"/>
      <c r="G14" s="48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48">
        <v>0</v>
      </c>
      <c r="H15" s="14" t="s">
        <v>3</v>
      </c>
      <c r="I15" s="1"/>
    </row>
    <row r="16" spans="1:9" x14ac:dyDescent="0.25">
      <c r="A16" s="1"/>
      <c r="B16" s="96" t="s">
        <v>60</v>
      </c>
      <c r="C16" s="97"/>
      <c r="D16" s="97"/>
      <c r="E16" s="97"/>
      <c r="F16" s="98"/>
      <c r="G16" s="24">
        <f>SUM(G12:G15)*'Fane 14. Nøgletal'!C27</f>
        <v>300283.68928604503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0" t="s">
        <v>69</v>
      </c>
      <c r="C19" s="91"/>
      <c r="D19" s="91"/>
      <c r="E19" s="91"/>
      <c r="F19" s="91"/>
      <c r="G19" s="91"/>
      <c r="H19" s="92"/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f>(SUM(G12:G13,G15)-(G16))*(1+'Fane 14. Nøgletal'!C10)</f>
        <v>14971394.038578991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48">
        <v>0</v>
      </c>
      <c r="H21" s="14" t="s">
        <v>3</v>
      </c>
      <c r="I21" s="1"/>
    </row>
    <row r="22" spans="1:9" x14ac:dyDescent="0.25">
      <c r="A22" s="1"/>
      <c r="B22" s="96" t="s">
        <v>63</v>
      </c>
      <c r="C22" s="97"/>
      <c r="D22" s="97"/>
      <c r="E22" s="97"/>
      <c r="F22" s="98"/>
      <c r="G22" s="24">
        <f>SUM(G20:G21)*'Fane 14. Nøgletal'!C27</f>
        <v>299427.8807715798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0" t="s">
        <v>70</v>
      </c>
      <c r="C25" s="91"/>
      <c r="D25" s="91"/>
      <c r="E25" s="91"/>
      <c r="F25" s="91"/>
      <c r="G25" s="91"/>
      <c r="H25" s="92"/>
      <c r="I25" s="1"/>
    </row>
    <row r="26" spans="1:9" x14ac:dyDescent="0.25">
      <c r="A26" s="1"/>
      <c r="B26" s="96" t="s">
        <v>64</v>
      </c>
      <c r="C26" s="97"/>
      <c r="D26" s="97"/>
      <c r="E26" s="97"/>
      <c r="F26" s="98"/>
      <c r="G26" s="24">
        <f>(G20+G21-G22)*(1+'Fane 14. Nøgletal'!C12)</f>
        <v>14961003.891116219</v>
      </c>
      <c r="H26" s="14" t="s">
        <v>3</v>
      </c>
      <c r="I26" s="1"/>
    </row>
    <row r="27" spans="1:9" x14ac:dyDescent="0.25">
      <c r="A27" s="1"/>
      <c r="B27" s="99" t="s">
        <v>65</v>
      </c>
      <c r="C27" s="100"/>
      <c r="D27" s="100"/>
      <c r="E27" s="100"/>
      <c r="F27" s="101"/>
      <c r="G27" s="24">
        <v>266076.57329055003</v>
      </c>
      <c r="H27" s="14" t="s">
        <v>3</v>
      </c>
      <c r="I27" s="1"/>
    </row>
    <row r="28" spans="1:9" x14ac:dyDescent="0.25">
      <c r="A28" s="1"/>
      <c r="B28" s="96" t="s">
        <v>66</v>
      </c>
      <c r="C28" s="97"/>
      <c r="D28" s="97"/>
      <c r="E28" s="97"/>
      <c r="F28" s="98"/>
      <c r="G28" s="24">
        <f>(G26+G27)*'Fane 14. Nøgletal'!C27</f>
        <v>304541.60928813537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0" t="s">
        <v>73</v>
      </c>
      <c r="C31" s="91"/>
      <c r="D31" s="91"/>
      <c r="E31" s="91"/>
      <c r="F31" s="91"/>
      <c r="G31" s="91"/>
      <c r="H31" s="92"/>
      <c r="I31" s="1"/>
    </row>
    <row r="32" spans="1:9" x14ac:dyDescent="0.25">
      <c r="A32" s="1"/>
      <c r="B32" s="96" t="s">
        <v>74</v>
      </c>
      <c r="C32" s="97"/>
      <c r="D32" s="97"/>
      <c r="E32" s="97"/>
      <c r="F32" s="98"/>
      <c r="G32" s="24">
        <f>(G26+G27-G28)*(1+'Fane 14. Nøgletal'!C12)</f>
        <v>15216512.87056447</v>
      </c>
      <c r="H32" s="14" t="s">
        <v>3</v>
      </c>
      <c r="I32" s="1"/>
    </row>
    <row r="33" spans="1:9" x14ac:dyDescent="0.25">
      <c r="A33" s="1"/>
      <c r="B33" s="96" t="s">
        <v>230</v>
      </c>
      <c r="C33" s="97"/>
      <c r="D33" s="97"/>
      <c r="E33" s="97"/>
      <c r="F33" s="98"/>
      <c r="G33" s="24">
        <f>SUM('Fane 2.1. Økonomisk ramme 2021'!C10,'Fane 2.1. Økonomisk ramme 2021'!C12,'Fane 2.1. Økonomisk ramme 2021'!C14)*(1+'Fane 14. Nøgletal'!C13)</f>
        <v>37795.606707599996</v>
      </c>
      <c r="H33" s="14" t="s">
        <v>3</v>
      </c>
      <c r="I33" s="1"/>
    </row>
    <row r="34" spans="1:9" x14ac:dyDescent="0.25">
      <c r="A34" s="1"/>
      <c r="B34" s="96" t="s">
        <v>75</v>
      </c>
      <c r="C34" s="97"/>
      <c r="D34" s="97"/>
      <c r="E34" s="97"/>
      <c r="F34" s="98"/>
      <c r="G34" s="24">
        <f>(G32+G33)*'Fane 14. Nøgletal'!C27</f>
        <v>305086.1695454414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0" t="s">
        <v>100</v>
      </c>
      <c r="C37" s="91"/>
      <c r="D37" s="91"/>
      <c r="E37" s="91"/>
      <c r="F37" s="91"/>
      <c r="G37" s="91"/>
      <c r="H37" s="92"/>
      <c r="I37" s="1"/>
    </row>
    <row r="38" spans="1:9" x14ac:dyDescent="0.25">
      <c r="A38" s="1"/>
      <c r="B38" s="96" t="s">
        <v>99</v>
      </c>
      <c r="C38" s="97"/>
      <c r="D38" s="97"/>
      <c r="E38" s="97"/>
      <c r="F38" s="98"/>
      <c r="G38" s="24">
        <f>(G32+G33-G34)*(1+'Fane 14. Nøgletal'!C13)</f>
        <v>15131602.819880893</v>
      </c>
      <c r="H38" s="14" t="s">
        <v>3</v>
      </c>
      <c r="I38" s="1"/>
    </row>
    <row r="39" spans="1:9" x14ac:dyDescent="0.25">
      <c r="A39" s="1"/>
      <c r="B39" s="96" t="s">
        <v>117</v>
      </c>
      <c r="C39" s="97"/>
      <c r="D39" s="97"/>
      <c r="E39" s="97"/>
      <c r="F39" s="98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6" t="s">
        <v>76</v>
      </c>
      <c r="C40" s="97"/>
      <c r="D40" s="97"/>
      <c r="E40" s="97"/>
      <c r="F40" s="98"/>
      <c r="G40" s="24">
        <f>(G38+G39)*'Fane 14. Nøgletal'!C27</f>
        <v>302632.05639761785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0" t="s">
        <v>101</v>
      </c>
      <c r="C43" s="91"/>
      <c r="D43" s="91"/>
      <c r="E43" s="91"/>
      <c r="F43" s="91"/>
      <c r="G43" s="91"/>
      <c r="H43" s="92"/>
      <c r="I43" s="1"/>
    </row>
    <row r="44" spans="1:9" x14ac:dyDescent="0.25">
      <c r="A44" s="1"/>
      <c r="B44" s="96" t="s">
        <v>98</v>
      </c>
      <c r="C44" s="97"/>
      <c r="D44" s="97"/>
      <c r="E44" s="97"/>
      <c r="F44" s="98"/>
      <c r="G44" s="24">
        <f>(G38+G39-G40)*(1+'Fane 14. Nøgletal'!C13)</f>
        <v>15009884.206797771</v>
      </c>
      <c r="H44" s="14" t="s">
        <v>3</v>
      </c>
      <c r="I44" s="1"/>
    </row>
    <row r="45" spans="1:9" x14ac:dyDescent="0.25">
      <c r="A45" s="1"/>
      <c r="B45" s="96" t="s">
        <v>118</v>
      </c>
      <c r="C45" s="97"/>
      <c r="D45" s="97"/>
      <c r="E45" s="97"/>
      <c r="F45" s="98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6" t="s">
        <v>77</v>
      </c>
      <c r="C46" s="97"/>
      <c r="D46" s="97"/>
      <c r="E46" s="97"/>
      <c r="F46" s="98"/>
      <c r="G46" s="24">
        <f>(G44+G45)*'Fane 14. Nøgletal'!C27</f>
        <v>300197.68413595541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0" t="s">
        <v>231</v>
      </c>
      <c r="C51" s="91"/>
      <c r="D51" s="91"/>
      <c r="E51" s="91"/>
      <c r="F51" s="91"/>
      <c r="G51" s="91"/>
      <c r="H51" s="92"/>
      <c r="I51" s="1"/>
    </row>
    <row r="52" spans="1:9" x14ac:dyDescent="0.25">
      <c r="A52" s="1"/>
      <c r="B52" s="96" t="s">
        <v>232</v>
      </c>
      <c r="C52" s="97"/>
      <c r="D52" s="97"/>
      <c r="E52" s="97"/>
      <c r="F52" s="98"/>
      <c r="G52" s="24">
        <f>(G44+G45-G46)*(1+'Fane 14. Nøgletal'!C13)</f>
        <v>14889144.698238291</v>
      </c>
      <c r="H52" s="14" t="s">
        <v>3</v>
      </c>
      <c r="I52" s="1"/>
    </row>
    <row r="53" spans="1:9" x14ac:dyDescent="0.25">
      <c r="A53" s="1"/>
      <c r="B53" s="96" t="s">
        <v>233</v>
      </c>
      <c r="C53" s="97"/>
      <c r="D53" s="97"/>
      <c r="E53" s="97"/>
      <c r="F53" s="98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6" t="s">
        <v>234</v>
      </c>
      <c r="C54" s="97"/>
      <c r="D54" s="97"/>
      <c r="E54" s="97"/>
      <c r="F54" s="98"/>
      <c r="G54" s="24">
        <f>(G52+G53)*'Fane 14. Nøgletal'!C27</f>
        <v>297782.89396476583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wnZEv3668hSdoe5DPAInUWxr8sF/3+JmLye6PuVTDVvVRADu6dqK3G3nr34KkVmk/nCTSmsW/BrJ5nNIGfw76w==" saltValue="zTjSsbR7eRgg+GlEt0+xfA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2" t="s">
        <v>164</v>
      </c>
      <c r="C1" s="102"/>
      <c r="D1" s="102"/>
      <c r="E1" s="102"/>
      <c r="F1" s="102"/>
      <c r="G1" s="102"/>
      <c r="H1" s="102"/>
      <c r="I1" s="1"/>
    </row>
    <row r="2" spans="1:9" ht="15" customHeight="1" x14ac:dyDescent="0.25">
      <c r="A2" s="1"/>
      <c r="B2" s="102"/>
      <c r="C2" s="102"/>
      <c r="D2" s="102"/>
      <c r="E2" s="102"/>
      <c r="F2" s="102"/>
      <c r="G2" s="102"/>
      <c r="H2" s="102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90" t="s">
        <v>71</v>
      </c>
      <c r="C4" s="91"/>
      <c r="D4" s="91"/>
      <c r="E4" s="91"/>
      <c r="F4" s="91"/>
      <c r="G4" s="91"/>
      <c r="H4" s="92"/>
      <c r="I4" s="1"/>
    </row>
    <row r="5" spans="1:9" x14ac:dyDescent="0.25">
      <c r="A5" s="1"/>
      <c r="B5" s="96" t="s">
        <v>78</v>
      </c>
      <c r="C5" s="97"/>
      <c r="D5" s="97"/>
      <c r="E5" s="97"/>
      <c r="F5" s="98"/>
      <c r="G5" s="24">
        <v>29133275</v>
      </c>
      <c r="H5" s="14" t="s">
        <v>3</v>
      </c>
      <c r="I5" s="1"/>
    </row>
    <row r="6" spans="1:9" x14ac:dyDescent="0.25">
      <c r="A6" s="1"/>
      <c r="B6" s="96" t="s">
        <v>72</v>
      </c>
      <c r="C6" s="97"/>
      <c r="D6" s="97"/>
      <c r="E6" s="97"/>
      <c r="F6" s="98"/>
      <c r="G6" s="24">
        <f>G5*'Fane 14. Nøgletal'!C18</f>
        <v>265112.80249999999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0" t="s">
        <v>79</v>
      </c>
      <c r="C9" s="91"/>
      <c r="D9" s="91"/>
      <c r="E9" s="91"/>
      <c r="F9" s="91"/>
      <c r="G9" s="91"/>
      <c r="H9" s="92"/>
      <c r="I9" s="1"/>
    </row>
    <row r="10" spans="1:9" x14ac:dyDescent="0.25">
      <c r="A10" s="1"/>
      <c r="B10" s="96" t="s">
        <v>80</v>
      </c>
      <c r="C10" s="97"/>
      <c r="D10" s="97"/>
      <c r="E10" s="97"/>
      <c r="F10" s="98"/>
      <c r="G10" s="24">
        <f>(G5-G6)*(1+'Fane 14. Nøgletal'!C10)</f>
        <v>29373355.035956252</v>
      </c>
      <c r="H10" s="14" t="s">
        <v>3</v>
      </c>
      <c r="I10" s="1"/>
    </row>
    <row r="11" spans="1:9" x14ac:dyDescent="0.25">
      <c r="A11" s="1"/>
      <c r="B11" s="96" t="s">
        <v>183</v>
      </c>
      <c r="C11" s="97"/>
      <c r="D11" s="97"/>
      <c r="E11" s="97"/>
      <c r="F11" s="98"/>
      <c r="G11" s="24">
        <f>(29517808.6848772-G5)*1.0175</f>
        <v>391263.02436254919</v>
      </c>
      <c r="H11" s="14" t="s">
        <v>3</v>
      </c>
      <c r="I11" s="1"/>
    </row>
    <row r="12" spans="1:9" x14ac:dyDescent="0.25">
      <c r="A12" s="1"/>
      <c r="B12" s="99" t="s">
        <v>81</v>
      </c>
      <c r="C12" s="100"/>
      <c r="D12" s="100"/>
      <c r="E12" s="100"/>
      <c r="F12" s="101"/>
      <c r="G12" s="48">
        <v>0</v>
      </c>
      <c r="H12" s="14" t="s">
        <v>3</v>
      </c>
      <c r="I12" s="1"/>
    </row>
    <row r="13" spans="1:9" x14ac:dyDescent="0.25">
      <c r="A13" s="1"/>
      <c r="B13" s="96" t="s">
        <v>82</v>
      </c>
      <c r="C13" s="97"/>
      <c r="D13" s="97"/>
      <c r="E13" s="97"/>
      <c r="F13" s="98"/>
      <c r="G13" s="24">
        <f>SUM(G10:G12)*'Fane 14. Nøgletal'!C19</f>
        <v>526833.73966764275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0" t="s">
        <v>83</v>
      </c>
      <c r="C16" s="91"/>
      <c r="D16" s="91"/>
      <c r="E16" s="91"/>
      <c r="F16" s="91"/>
      <c r="G16" s="91"/>
      <c r="H16" s="92"/>
      <c r="I16" s="1"/>
    </row>
    <row r="17" spans="1:9" x14ac:dyDescent="0.25">
      <c r="A17" s="1"/>
      <c r="B17" s="96" t="s">
        <v>84</v>
      </c>
      <c r="C17" s="97"/>
      <c r="D17" s="97"/>
      <c r="E17" s="97"/>
      <c r="F17" s="98"/>
      <c r="G17" s="24">
        <f>(SUM(G10:G12)-G13)*(1+'Fane 14. Nøgletal'!C10)</f>
        <v>29749445.546262555</v>
      </c>
      <c r="H17" s="14" t="s">
        <v>3</v>
      </c>
      <c r="I17" s="1"/>
    </row>
    <row r="18" spans="1:9" x14ac:dyDescent="0.25">
      <c r="A18" s="1"/>
      <c r="B18" s="99" t="s">
        <v>85</v>
      </c>
      <c r="C18" s="100"/>
      <c r="D18" s="100"/>
      <c r="E18" s="100"/>
      <c r="F18" s="101"/>
      <c r="G18" s="24">
        <v>96265.097606119976</v>
      </c>
      <c r="H18" s="14" t="s">
        <v>3</v>
      </c>
      <c r="I18" s="1"/>
    </row>
    <row r="19" spans="1:9" x14ac:dyDescent="0.25">
      <c r="A19" s="1"/>
      <c r="B19" s="96" t="s">
        <v>86</v>
      </c>
      <c r="C19" s="97"/>
      <c r="D19" s="97"/>
      <c r="E19" s="97"/>
      <c r="F19" s="98"/>
      <c r="G19" s="24">
        <f>G17*'Fane 14. Nøgletal'!C19+G18*'Fane 14. Nøgletal'!C20</f>
        <v>527402.69251802051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0" t="s">
        <v>87</v>
      </c>
      <c r="C22" s="91"/>
      <c r="D22" s="91"/>
      <c r="E22" s="91"/>
      <c r="F22" s="91"/>
      <c r="G22" s="91"/>
      <c r="H22" s="92"/>
      <c r="I22" s="1"/>
    </row>
    <row r="23" spans="1:9" x14ac:dyDescent="0.25">
      <c r="A23" s="1"/>
      <c r="B23" s="96" t="s">
        <v>88</v>
      </c>
      <c r="C23" s="97"/>
      <c r="D23" s="97"/>
      <c r="E23" s="97"/>
      <c r="F23" s="98"/>
      <c r="G23" s="24">
        <f>(G17+G18-G19)*(1+'Fane 14. Nøgletal'!C12)</f>
        <v>29895878.61799226</v>
      </c>
      <c r="H23" s="14" t="s">
        <v>3</v>
      </c>
      <c r="I23" s="1"/>
    </row>
    <row r="24" spans="1:9" x14ac:dyDescent="0.25">
      <c r="A24" s="1"/>
      <c r="B24" s="99" t="s">
        <v>89</v>
      </c>
      <c r="C24" s="100"/>
      <c r="D24" s="100"/>
      <c r="E24" s="100"/>
      <c r="F24" s="101"/>
      <c r="G24" s="24">
        <v>1462919.1156804909</v>
      </c>
      <c r="H24" s="14" t="s">
        <v>3</v>
      </c>
      <c r="I24" s="1"/>
    </row>
    <row r="25" spans="1:9" x14ac:dyDescent="0.25">
      <c r="A25" s="1"/>
      <c r="B25" s="96" t="s">
        <v>90</v>
      </c>
      <c r="C25" s="97"/>
      <c r="D25" s="97"/>
      <c r="E25" s="97"/>
      <c r="F25" s="98"/>
      <c r="G25" s="24">
        <f>(G23+G24)*'Fane 14. Nøgletal'!C21</f>
        <v>890589.85563630611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0" t="s">
        <v>91</v>
      </c>
      <c r="C28" s="91"/>
      <c r="D28" s="91"/>
      <c r="E28" s="91"/>
      <c r="F28" s="91"/>
      <c r="G28" s="91"/>
      <c r="H28" s="92"/>
      <c r="I28" s="1"/>
    </row>
    <row r="29" spans="1:9" x14ac:dyDescent="0.25">
      <c r="A29" s="1"/>
      <c r="B29" s="96" t="s">
        <v>92</v>
      </c>
      <c r="C29" s="97"/>
      <c r="D29" s="97"/>
      <c r="E29" s="97"/>
      <c r="F29" s="98"/>
      <c r="G29" s="24">
        <f>(G23+G24-G25)*(1+'Fane 14. Nøgletal'!C12)</f>
        <v>31068431.573233761</v>
      </c>
      <c r="H29" s="14" t="s">
        <v>3</v>
      </c>
      <c r="I29" s="1"/>
    </row>
    <row r="30" spans="1:9" x14ac:dyDescent="0.25">
      <c r="A30" s="1"/>
      <c r="B30" s="96" t="s">
        <v>235</v>
      </c>
      <c r="C30" s="97"/>
      <c r="D30" s="97"/>
      <c r="E30" s="97"/>
      <c r="F30" s="98"/>
      <c r="G30" s="24">
        <f>SUM('Fane 2.1. Økonomisk ramme 2021'!C11,'Fane 2.1. Økonomisk ramme 2021'!C13,'Fane 2.1. Økonomisk ramme 2021'!C15)*(1+'Fane 14. Nøgletal'!C13)</f>
        <v>441486.29154672002</v>
      </c>
      <c r="H30" s="14" t="s">
        <v>3</v>
      </c>
      <c r="I30" s="1"/>
    </row>
    <row r="31" spans="1:9" x14ac:dyDescent="0.25">
      <c r="A31" s="1"/>
      <c r="B31" s="96" t="s">
        <v>93</v>
      </c>
      <c r="C31" s="97"/>
      <c r="D31" s="97"/>
      <c r="E31" s="97"/>
      <c r="F31" s="98"/>
      <c r="G31" s="24">
        <f>G29*'Fane 14. Nøgletal'!C21+G30*'Fane 14. Nøgletal'!C22</f>
        <v>894484.32969737367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0" t="s">
        <v>102</v>
      </c>
      <c r="C34" s="91"/>
      <c r="D34" s="91"/>
      <c r="E34" s="91"/>
      <c r="F34" s="91"/>
      <c r="G34" s="91"/>
      <c r="H34" s="92"/>
      <c r="I34" s="1"/>
    </row>
    <row r="35" spans="1:9" x14ac:dyDescent="0.25">
      <c r="A35" s="1"/>
      <c r="B35" s="96" t="s">
        <v>97</v>
      </c>
      <c r="C35" s="97"/>
      <c r="D35" s="97"/>
      <c r="E35" s="97"/>
      <c r="F35" s="98"/>
      <c r="G35" s="24">
        <f>(G29+G30-G31)*(1+'Fane 14. Nøgletal'!C13)</f>
        <v>30988941.824211121</v>
      </c>
      <c r="H35" s="14" t="s">
        <v>3</v>
      </c>
      <c r="I35" s="1"/>
    </row>
    <row r="36" spans="1:9" x14ac:dyDescent="0.25">
      <c r="A36" s="1"/>
      <c r="B36" s="96" t="s">
        <v>122</v>
      </c>
      <c r="C36" s="97"/>
      <c r="D36" s="97"/>
      <c r="E36" s="97"/>
      <c r="F36" s="98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6" t="s">
        <v>94</v>
      </c>
      <c r="C37" s="97"/>
      <c r="D37" s="97"/>
      <c r="E37" s="97"/>
      <c r="F37" s="98"/>
      <c r="G37" s="24">
        <f>(G35+G36)*'Fane 14. Nøgletal'!C22</f>
        <v>852195.90016580583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0" t="s">
        <v>103</v>
      </c>
      <c r="C40" s="91"/>
      <c r="D40" s="91"/>
      <c r="E40" s="91"/>
      <c r="F40" s="91"/>
      <c r="G40" s="91"/>
      <c r="H40" s="92"/>
      <c r="I40" s="1"/>
    </row>
    <row r="41" spans="1:9" x14ac:dyDescent="0.25">
      <c r="A41" s="1"/>
      <c r="B41" s="96" t="s">
        <v>96</v>
      </c>
      <c r="C41" s="97"/>
      <c r="D41" s="97"/>
      <c r="E41" s="97"/>
      <c r="F41" s="98"/>
      <c r="G41" s="24">
        <f>(G35+G36-G37)*(1+'Fane 14. Nøgletal'!C13)</f>
        <v>30504414.224318665</v>
      </c>
      <c r="H41" s="14" t="s">
        <v>3</v>
      </c>
      <c r="I41" s="1"/>
    </row>
    <row r="42" spans="1:9" x14ac:dyDescent="0.25">
      <c r="A42" s="1"/>
      <c r="B42" s="96" t="s">
        <v>123</v>
      </c>
      <c r="C42" s="97"/>
      <c r="D42" s="97"/>
      <c r="E42" s="97"/>
      <c r="F42" s="98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6" t="s">
        <v>95</v>
      </c>
      <c r="C43" s="97"/>
      <c r="D43" s="97"/>
      <c r="E43" s="97"/>
      <c r="F43" s="98"/>
      <c r="G43" s="24">
        <f>(G41+G42)*'Fane 14. Nøgletal'!C22</f>
        <v>838871.39116876328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0" t="s">
        <v>240</v>
      </c>
      <c r="C46" s="91"/>
      <c r="D46" s="91"/>
      <c r="E46" s="91"/>
      <c r="F46" s="91"/>
      <c r="G46" s="91"/>
      <c r="H46" s="92"/>
      <c r="I46" s="1"/>
    </row>
    <row r="47" spans="1:9" x14ac:dyDescent="0.25">
      <c r="A47" s="1"/>
      <c r="B47" s="96" t="s">
        <v>241</v>
      </c>
      <c r="C47" s="97"/>
      <c r="D47" s="97"/>
      <c r="E47" s="97"/>
      <c r="F47" s="98"/>
      <c r="G47" s="24">
        <f>(G41+G42-G43)*(1+'Fane 14. Nøgletal'!C13)</f>
        <v>30027462.45571433</v>
      </c>
      <c r="H47" s="14" t="s">
        <v>3</v>
      </c>
      <c r="I47" s="1"/>
    </row>
    <row r="48" spans="1:9" x14ac:dyDescent="0.25">
      <c r="A48" s="1"/>
      <c r="B48" s="96" t="s">
        <v>242</v>
      </c>
      <c r="C48" s="97"/>
      <c r="D48" s="97"/>
      <c r="E48" s="97"/>
      <c r="F48" s="98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6" t="s">
        <v>243</v>
      </c>
      <c r="C49" s="97"/>
      <c r="D49" s="97"/>
      <c r="E49" s="97"/>
      <c r="F49" s="98"/>
      <c r="G49" s="24">
        <f>(G47+G48)*'Fane 14. Nøgletal'!C22</f>
        <v>825755.21753214404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Pya4fm0mKL2ckIfVo/WxMB1Fo5A7L2qn7SbBSrXPEZAxLdyFId3/vtKgw0qipXmMzzMnfoxL9vsy6S8VNQmTXA==" saltValue="4yAL5N21z+0OIcO7VfsRQw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116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10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6" t="s">
        <v>104</v>
      </c>
      <c r="C9" s="97"/>
      <c r="D9" s="97"/>
      <c r="E9" s="97"/>
      <c r="F9" s="98"/>
      <c r="G9" s="23">
        <v>4.2873239579252209E-3</v>
      </c>
      <c r="H9" s="14"/>
      <c r="I9" s="1"/>
    </row>
    <row r="10" spans="1:9" x14ac:dyDescent="0.25">
      <c r="A10" s="1"/>
      <c r="B10" s="96" t="s">
        <v>105</v>
      </c>
      <c r="C10" s="97"/>
      <c r="D10" s="97"/>
      <c r="E10" s="97"/>
      <c r="F10" s="98"/>
      <c r="G10" s="23">
        <v>1.6713330026415566E-2</v>
      </c>
      <c r="H10" s="14"/>
      <c r="I10" s="1"/>
    </row>
    <row r="11" spans="1:9" x14ac:dyDescent="0.25">
      <c r="A11" s="1"/>
      <c r="B11" s="96" t="s">
        <v>106</v>
      </c>
      <c r="C11" s="97"/>
      <c r="D11" s="97"/>
      <c r="E11" s="97"/>
      <c r="F11" s="98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1" t="s">
        <v>258</v>
      </c>
      <c r="C13" s="82"/>
      <c r="D13" s="82"/>
      <c r="E13" s="82"/>
      <c r="F13" s="82"/>
      <c r="G13" s="82"/>
      <c r="H13" s="83"/>
      <c r="I13" s="1"/>
    </row>
    <row r="14" spans="1:9" ht="14.25" customHeight="1" x14ac:dyDescent="0.25">
      <c r="A14" s="18"/>
      <c r="B14" s="104"/>
      <c r="C14" s="104"/>
      <c r="D14" s="104"/>
      <c r="E14" s="104"/>
      <c r="F14" s="104"/>
      <c r="G14" s="104"/>
      <c r="H14" s="104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I5BqSZRaHyWkEt7Rem95szI1APbdgPX6OAFq/7hhoDzE8uG+nDfwPz+Jnzt+7rxpp9AmMzZK8z+lsZweFIQiQ==" saltValue="wCVh8A+MxCLhrAk0MJ8nIg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2020-10-21T08:26:38Z</dcterms:modified>
</cp:coreProperties>
</file>