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illeleje Vandværk a.m.b.a. (V062)\ØR2019\"/>
    </mc:Choice>
  </mc:AlternateContent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62913"/>
</workbook>
</file>

<file path=xl/calcChain.xml><?xml version="1.0" encoding="utf-8"?>
<calcChain xmlns="http://schemas.openxmlformats.org/spreadsheetml/2006/main">
  <c r="E16" i="19" l="1"/>
  <c r="F13" i="20"/>
  <c r="D13" i="20"/>
  <c r="C17" i="2" l="1"/>
  <c r="G12" i="10" l="1"/>
  <c r="C18" i="2" l="1"/>
  <c r="C19" i="2" s="1"/>
  <c r="E19" i="2" s="1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31" i="2" l="1"/>
  <c r="C16" i="23"/>
  <c r="E16" i="23" s="1"/>
  <c r="C16" i="22"/>
  <c r="C17" i="22" s="1"/>
  <c r="E17" i="22" s="1"/>
  <c r="C17" i="15"/>
  <c r="C18" i="15" s="1"/>
  <c r="E18" i="15" s="1"/>
  <c r="C21" i="2"/>
  <c r="C22" i="2" s="1"/>
  <c r="E22" i="2" s="1"/>
  <c r="G21" i="7" l="1"/>
  <c r="G22" i="7"/>
  <c r="G17" i="7"/>
  <c r="E11" i="21"/>
  <c r="E12" i="21" s="1"/>
  <c r="C11" i="21"/>
  <c r="C12" i="21" s="1"/>
  <c r="C10" i="2"/>
  <c r="C10" i="15" s="1"/>
  <c r="C9" i="2"/>
  <c r="E17" i="19"/>
  <c r="C24" i="2" l="1"/>
  <c r="C26" i="2" s="1"/>
  <c r="E26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E31" i="2" l="1"/>
  <c r="G14" i="10"/>
  <c r="C33" i="2" l="1"/>
  <c r="C24" i="15"/>
  <c r="E24" i="15" s="1"/>
  <c r="D14" i="20" l="1"/>
  <c r="G11" i="7" l="1"/>
  <c r="E10" i="11" l="1"/>
  <c r="E11" i="11" s="1"/>
  <c r="F10" i="20" s="1"/>
  <c r="F14" i="20" s="1"/>
  <c r="C11" i="2" s="1"/>
  <c r="E33" i="2"/>
  <c r="C13" i="2" l="1"/>
  <c r="C14" i="2" s="1"/>
  <c r="C15" i="2" s="1"/>
  <c r="C11" i="15"/>
  <c r="E23" i="22"/>
  <c r="E15" i="2" l="1"/>
  <c r="E34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<sst xmlns="http://schemas.openxmlformats.org/spreadsheetml/2006/main" count="379" uniqueCount="167">
  <si>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</si>
  <si>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</si>
  <si>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</si>
  <si>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</si>
  <si>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</si>
  <si>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</si>
  <si>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</si>
  <si>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</si>
  <si>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</si>
  <si>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</si>
  <si>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</si>
  <si>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</si>
  <si>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</si>
  <si>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</si>
  <si>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</si>
  <si>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</si>
  <si>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</si>
  <si>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</si>
  <si>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</si>
  <si>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</si>
  <si>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</si>
  <si>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</si>
  <si>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</si>
  <si>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</si>
  <si>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</si>
  <si>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</si>
  <si>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</si>
  <si>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</si>
  <si>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</si>
  <si>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</si>
  <si>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</si>
  <si>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</si>
  <si>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</si>
  <si>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</si>
  <si>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</si>
  <si>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</si>
  <si>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</si>
  <si>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</si>
  <si>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</si>
  <si>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</si>
  <si>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</si>
  <si>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</si>
  <si>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</si>
  <si>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</si>
  <si>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</si>
  <si>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</si>
  <si>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</si>
  <si>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</si>
  <si>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</si>
  <si>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</si>
  <si>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</si>
  <si>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</si>
  <si>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</si>
  <si>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</si>
  <si>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</si>
  <si>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</si>
  <si>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</si>
  <si>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</si>
  <si>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</si>
  <si>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</si>
  <si>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</si>
  <si>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</si>
  <si>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</si>
  <si>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</si>
  <si>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</si>
  <si>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</si>
  <si>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</si>
  <si>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</si>
  <si>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</si>
  <si>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</si>
  <si>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</si>
  <si>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</si>
  <si>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</si>
  <si>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</si>
  <si>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</si>
  <si>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</si>
  <si>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</si>
  <si>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</si>
  <si>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</si>
  <si>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</si>
  <si>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</si>
  <si>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</si>
  <si>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</si>
  <si>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</si>
  <si>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</si>
  <si>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</si>
  <si>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</si>
  <si>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</si>
  <si>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</si>
  <si>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</si>
  <si>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</si>
  <si>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</si>
  <si>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</si>
  <si>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</si>
  <si>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</si>
  <si>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</si>
  <si>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</si>
  <si>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</si>
  <si>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</si>
  <si>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</si>
  <si>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</si>
  <si>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</si>
  <si>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</si>
  <si>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</si>
  <si>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</si>
  <si>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</si>
  <si>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</si>
  <si>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</si>
  <si>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</si>
  <si>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</si>
  <si>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</si>
  <si>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</si>
  <si>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</si>
  <si>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</si>
  <si>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</si>
  <si>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</si>
  <si>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</si>
  <si>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</si>
  <si>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</si>
  <si>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</si>
  <si>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</si>
  <si>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</si>
  <si>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</si>
  <si>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</si>
  <si>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</si>
  <si>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</si>
  <si>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</si>
  <si>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</si>
  <si>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</si>
  <si>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</si>
  <si>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</si>
  <si>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</si>
  <si>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</si>
  <si>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</si>
  <si>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</si>
  <si>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</si>
  <si>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</si>
  <si>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</si>
  <si>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</si>
  <si>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</si>
  <si>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</si>
  <si>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</si>
  <si>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</si>
  <si>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</si>
  <si>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</si>
  <si>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</si>
  <si>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Engangstillæg til nye periodevise driftsomkostninger i 2017</t>
  </si>
  <si>
    <t>Effektiviseringskrav</t>
  </si>
  <si>
    <t>Engangstillæg til nye periodevise driftsomkostninger i 2017 i alt</t>
  </si>
  <si>
    <t>Periodevise driftsomkostninger under prisloftsbekendtgørelsen</t>
  </si>
  <si>
    <t>Periodevise driftsomkostninger under PL-bekendtgørelsen i alt</t>
  </si>
  <si>
    <t>Afgift til Forsyningsekretariatet</t>
  </si>
  <si>
    <t>Skatter og afgifter</t>
  </si>
  <si>
    <t>Undersøgelsesudgifter i forbindelse med fusion</t>
  </si>
  <si>
    <t>Bemærk desuden, at korrektion af ikke-påvirkelige omkostninger ikke er medtaget i denne opgørelse, men fremgår af fane 5.</t>
  </si>
  <si>
    <t>Ingen bortfald eller nedsættelse</t>
  </si>
  <si>
    <t xml:space="preserve">Rensning og inspektion af rentvandstank </t>
  </si>
  <si>
    <t>Over- eller underdækning fra Tinkerup vandværk per 31. december 2014</t>
  </si>
  <si>
    <t>Samlet korrektioner for overholdelse af indtægtsrammer</t>
  </si>
  <si>
    <t>Etageareal kontor og mandskabsfaciliteter</t>
  </si>
  <si>
    <t>Afgift for ledningsført vand</t>
  </si>
  <si>
    <t>Fane 11: Bortfald eller nedsættelse af omkostninger til mål, medfinansiering eller udvidelse</t>
  </si>
  <si>
    <t>Fane 12: Nøgletal</t>
  </si>
  <si>
    <t>Fusion (Andelsselskabet Rævebakkens Vandværk)</t>
  </si>
  <si>
    <t xml:space="preserve">kr. </t>
  </si>
  <si>
    <t>Afgift for ledningsført vand (Andelsselskabet Rævebakkens Vandværk)</t>
  </si>
  <si>
    <t>Skatter og afgifter (Andelsselskabet Rævebakkens Vandværk)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</si>
</sst>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101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32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31</v>
      </c>
      <c r="D14" s="65" t="s">
        <v>94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92</v>
      </c>
      <c r="D15" s="65" t="s">
        <v>95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93</v>
      </c>
      <c r="D16" s="65" t="s">
        <v>130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80" t="s">
        <v>96</v>
      </c>
      <c r="E17" s="81"/>
      <c r="F17" s="81"/>
      <c r="G17" s="82"/>
      <c r="H17" s="1"/>
      <c r="I17" s="1"/>
    </row>
    <row r="18" spans="1:9" x14ac:dyDescent="0.25">
      <c r="A18" s="1"/>
      <c r="B18" s="1"/>
      <c r="C18" s="6" t="s">
        <v>8</v>
      </c>
      <c r="D18" s="80" t="s">
        <v>98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9</v>
      </c>
      <c r="D19" s="80" t="s">
        <v>97</v>
      </c>
      <c r="E19" s="81"/>
      <c r="F19" s="81"/>
      <c r="G19" s="82"/>
      <c r="H19" s="1"/>
      <c r="I19" s="1"/>
    </row>
    <row r="20" spans="1:9" x14ac:dyDescent="0.25">
      <c r="A20" s="1"/>
      <c r="B20" s="1"/>
      <c r="C20" s="6" t="s">
        <v>10</v>
      </c>
      <c r="D20" s="83" t="s">
        <v>127</v>
      </c>
      <c r="E20" s="84"/>
      <c r="F20" s="84"/>
      <c r="G20" s="85"/>
      <c r="H20" s="1"/>
      <c r="I20" s="1"/>
    </row>
    <row r="21" spans="1:9" x14ac:dyDescent="0.25">
      <c r="A21" s="1"/>
      <c r="B21" s="1"/>
      <c r="C21" s="6" t="s">
        <v>11</v>
      </c>
      <c r="D21" s="75" t="s">
        <v>99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12</v>
      </c>
      <c r="D22" s="75" t="s">
        <v>128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13</v>
      </c>
      <c r="D23" s="75" t="s">
        <v>102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25</v>
      </c>
      <c r="D24" s="71" t="s">
        <v>28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29</v>
      </c>
      <c r="D25" s="68" t="s">
        <v>100</v>
      </c>
      <c r="E25" s="69"/>
      <c r="F25" s="69"/>
      <c r="G25" s="70"/>
      <c r="H25" s="1"/>
      <c r="I25" s="1"/>
    </row>
    <row r="26" spans="1:9" x14ac:dyDescent="0.25">
      <c r="A26" s="1"/>
      <c r="B26" s="1"/>
      <c r="C26" s="6" t="s">
        <v>30</v>
      </c>
      <c r="D26" s="68" t="s">
        <v>65</v>
      </c>
      <c r="E26" s="69"/>
      <c r="F26" s="69"/>
      <c r="G26" s="7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GkMGbIzmWqyN3bi/pR5LFgAGq0EZI2YkUl0uB5kDznX8zKZS2+VUlwvaZktyPLNCXrGun696lLmu2yQPjjAQAQ==" saltValue="Pxdrf4Ot16DEJpawzM0N0w==" spinCount="100000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1"/>
  <sheetViews>
    <sheetView showGridLines="0" view="pageLayout" zoomScaleNormal="100" workbookViewId="0"/>
  </sheetViews>
  <sheetFormatPr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-5773143</v>
      </c>
      <c r="H9" s="22" t="s">
        <v>3</v>
      </c>
      <c r="I9" s="1"/>
    </row>
    <row r="10" spans="1:9" x14ac:dyDescent="0.25">
      <c r="A10" s="1"/>
      <c r="B10" s="45" t="s">
        <v>157</v>
      </c>
      <c r="C10" s="46"/>
      <c r="D10" s="46"/>
      <c r="E10" s="46"/>
      <c r="F10" s="47"/>
      <c r="G10" s="11">
        <v>-1253165</v>
      </c>
      <c r="H10" s="22" t="s">
        <v>3</v>
      </c>
      <c r="I10" s="1"/>
    </row>
    <row r="11" spans="1:9" x14ac:dyDescent="0.25">
      <c r="A11" s="1"/>
      <c r="B11" s="45" t="s">
        <v>55</v>
      </c>
      <c r="C11" s="46"/>
      <c r="D11" s="46"/>
      <c r="E11" s="46"/>
      <c r="F11" s="47"/>
      <c r="G11" s="11">
        <v>-7026308</v>
      </c>
      <c r="H11" s="22" t="s">
        <v>3</v>
      </c>
      <c r="I11" s="1"/>
    </row>
    <row r="12" spans="1:9" x14ac:dyDescent="0.25">
      <c r="A12" s="1"/>
      <c r="B12" s="51" t="s">
        <v>19</v>
      </c>
      <c r="C12" s="52"/>
      <c r="D12" s="52"/>
      <c r="E12" s="52"/>
      <c r="F12" s="53"/>
      <c r="G12" s="31">
        <f>G9+G10-G11</f>
        <v>0</v>
      </c>
      <c r="H12" s="26" t="s">
        <v>3</v>
      </c>
      <c r="I12" s="1"/>
    </row>
    <row r="13" spans="1:9" x14ac:dyDescent="0.25">
      <c r="A13" s="1"/>
      <c r="B13" s="45" t="s">
        <v>18</v>
      </c>
      <c r="C13" s="46"/>
      <c r="D13" s="46"/>
      <c r="E13" s="46"/>
      <c r="F13" s="47"/>
      <c r="G13" s="11">
        <v>0</v>
      </c>
      <c r="H13" s="22" t="s">
        <v>42</v>
      </c>
      <c r="I13" s="1"/>
    </row>
    <row r="14" spans="1:9" x14ac:dyDescent="0.25">
      <c r="A14" s="1"/>
      <c r="B14" s="38" t="s">
        <v>16</v>
      </c>
      <c r="C14" s="39"/>
      <c r="D14" s="39"/>
      <c r="E14" s="39"/>
      <c r="F14" s="40"/>
      <c r="G14" s="20">
        <f>IF(G13 = 0,0,G12/G13)</f>
        <v>0</v>
      </c>
      <c r="H14" s="2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</sheetData>
  <sheetProtection algorithmName="SHA-512" hashValue="M2N68sI0EUDwhPyjHgjmBEu5cmB/h0qZuSFxZpIaSmZnolEf2WKzpcYd4X4glMsO607g5bu+MIZie8jQU4ziMA==" saltValue="RhMpp2GTeoNMjFa6ZgPHaw==" spinCount="100000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133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103</v>
      </c>
      <c r="C9" s="93"/>
      <c r="D9" s="94"/>
      <c r="E9" s="11">
        <v>12135696.091252377</v>
      </c>
      <c r="F9" s="22" t="s">
        <v>3</v>
      </c>
      <c r="G9" s="19"/>
      <c r="H9" s="27"/>
      <c r="I9" s="1"/>
    </row>
    <row r="10" spans="1:9" x14ac:dyDescent="0.25">
      <c r="A10" s="1"/>
      <c r="B10" s="92" t="s">
        <v>104</v>
      </c>
      <c r="C10" s="93"/>
      <c r="D10" s="94"/>
      <c r="E10" s="11">
        <v>11766682</v>
      </c>
      <c r="F10" s="22" t="s">
        <v>3</v>
      </c>
      <c r="G10" s="14"/>
      <c r="H10" s="28"/>
      <c r="I10" s="1"/>
    </row>
    <row r="11" spans="1:9" x14ac:dyDescent="0.25">
      <c r="A11" s="1"/>
      <c r="B11" s="92" t="s">
        <v>111</v>
      </c>
      <c r="C11" s="93"/>
      <c r="D11" s="94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8" t="s">
        <v>105</v>
      </c>
      <c r="C12" s="99"/>
      <c r="D12" s="100"/>
      <c r="E12" s="17">
        <f>E9-(E10-E11)</f>
        <v>369014.09125237726</v>
      </c>
      <c r="F12" s="25" t="s">
        <v>3</v>
      </c>
      <c r="G12" s="17">
        <f>E12</f>
        <v>369014.09125237726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115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5" t="s">
        <v>112</v>
      </c>
      <c r="C18" s="96"/>
      <c r="D18" s="97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5" t="s">
        <v>113</v>
      </c>
      <c r="C19" s="96"/>
      <c r="D19" s="97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5" t="s">
        <v>114</v>
      </c>
      <c r="C20" s="96"/>
      <c r="D20" s="97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9" t="s">
        <v>116</v>
      </c>
      <c r="C21" s="90"/>
      <c r="D21" s="90"/>
      <c r="E21" s="90"/>
      <c r="F21" s="91"/>
      <c r="G21" s="20">
        <f>E20</f>
        <v>0</v>
      </c>
      <c r="H21" s="21" t="s">
        <v>3</v>
      </c>
      <c r="I21" s="1"/>
    </row>
    <row r="22" spans="1:9" x14ac:dyDescent="0.25">
      <c r="A22" s="1"/>
      <c r="B22" s="89" t="s">
        <v>117</v>
      </c>
      <c r="C22" s="90"/>
      <c r="D22" s="90"/>
      <c r="E22" s="90"/>
      <c r="F22" s="91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WG1EDLJe98YtgiKy8p8zS19ITkPKVAszuQiQVoErwhX4guaQUvKxhTHTtp2crvi02eGiilI+0rVIDm+Hi5IrnQ==" saltValue="oFHzvniTND2yA/f/VvuphQ==" spinCount="100000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7" style="2" customWidth="1"/>
    <col min="3" max="3" width="10" style="2" customWidth="1"/>
    <col min="4" max="4" width="13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139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140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107</v>
      </c>
      <c r="E9" s="18" t="s">
        <v>2</v>
      </c>
      <c r="F9" s="18" t="s">
        <v>86</v>
      </c>
      <c r="G9" s="18" t="s">
        <v>87</v>
      </c>
      <c r="H9" s="36"/>
      <c r="I9" s="1"/>
    </row>
    <row r="10" spans="1:9" ht="26.25" x14ac:dyDescent="0.25">
      <c r="A10" s="1"/>
      <c r="B10" s="61" t="s">
        <v>159</v>
      </c>
      <c r="C10" s="62">
        <v>75</v>
      </c>
      <c r="D10" s="11">
        <v>3841589</v>
      </c>
      <c r="E10" s="11">
        <f>D10/C10</f>
        <v>51221.186666666668</v>
      </c>
      <c r="F10" s="11">
        <v>0</v>
      </c>
      <c r="G10" s="11">
        <v>0</v>
      </c>
      <c r="H10" s="22" t="s">
        <v>3</v>
      </c>
      <c r="I10" s="1"/>
    </row>
    <row r="11" spans="1:9" x14ac:dyDescent="0.25">
      <c r="A11" s="1"/>
      <c r="B11" s="89" t="s">
        <v>141</v>
      </c>
      <c r="C11" s="90"/>
      <c r="D11" s="91"/>
      <c r="E11" s="20">
        <f>SUM(E10:E10)</f>
        <v>51221.186666666668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UDc218AowVrKShwRx3j3L3FNxyp6PyP2qvJ8FMzumWhQGh//deKYRptkoZhs0VlC17Ax5k7lNY62PCnBdaSAGw==" saltValue="fHTTQFGkdbFuQUOubfDZIw==" spinCount="100000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91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108</v>
      </c>
      <c r="G9" s="36"/>
      <c r="H9" s="1"/>
    </row>
    <row r="10" spans="1:8" x14ac:dyDescent="0.25">
      <c r="A10" s="1"/>
      <c r="B10" s="56" t="s">
        <v>140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51221.186666666668</v>
      </c>
      <c r="G10" s="22" t="s">
        <v>3</v>
      </c>
      <c r="H10" s="1"/>
    </row>
    <row r="11" spans="1:8" x14ac:dyDescent="0.25">
      <c r="A11" s="1"/>
      <c r="B11" s="63" t="s">
        <v>156</v>
      </c>
      <c r="C11" s="64"/>
      <c r="D11" s="58">
        <v>25500</v>
      </c>
      <c r="E11" s="22" t="s">
        <v>3</v>
      </c>
      <c r="F11" s="11">
        <v>0</v>
      </c>
      <c r="G11" s="22" t="s">
        <v>3</v>
      </c>
      <c r="H11" s="1"/>
    </row>
    <row r="12" spans="1:8" ht="30.75" customHeight="1" x14ac:dyDescent="0.25">
      <c r="A12" s="1"/>
      <c r="B12" s="61" t="s">
        <v>163</v>
      </c>
      <c r="C12" s="64"/>
      <c r="D12" s="58">
        <v>606238</v>
      </c>
      <c r="E12" s="22" t="s">
        <v>3</v>
      </c>
      <c r="F12" s="11">
        <v>127705</v>
      </c>
      <c r="G12" s="22" t="s">
        <v>164</v>
      </c>
      <c r="H12" s="1"/>
    </row>
    <row r="13" spans="1:8" x14ac:dyDescent="0.25">
      <c r="A13" s="1"/>
      <c r="B13" s="38" t="s">
        <v>144</v>
      </c>
      <c r="C13" s="40"/>
      <c r="D13" s="20">
        <f>SUM(D10:D12)</f>
        <v>631738</v>
      </c>
      <c r="E13" s="21" t="s">
        <v>3</v>
      </c>
      <c r="F13" s="20">
        <f>SUM(F10:F12)</f>
        <v>178926.18666666668</v>
      </c>
      <c r="G13" s="21" t="s">
        <v>3</v>
      </c>
      <c r="H13" s="1"/>
    </row>
    <row r="14" spans="1:8" x14ac:dyDescent="0.25">
      <c r="A14" s="1"/>
      <c r="B14" s="38" t="s">
        <v>145</v>
      </c>
      <c r="C14" s="40"/>
      <c r="D14" s="20">
        <f>D13*(1+Prisudvikling2019)</f>
        <v>642414.37219999998</v>
      </c>
      <c r="E14" s="21" t="s">
        <v>3</v>
      </c>
      <c r="F14" s="20">
        <f>F13*(1+Prisudvikling2019)</f>
        <v>181950.03922133334</v>
      </c>
      <c r="G14" s="21" t="s">
        <v>3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algorithmName="SHA-512" hashValue="n32qLhWpTU7PKEh5sW5HCWQEi0a52VZ9B68XH/3rXbzIJteANl5Uol+A0uH5f7zaEjo9xr2qB/CcufaFq5qiiQ==" saltValue="vLKQVlGIEBh3afvoPkSC9Q==" spinCount="100000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161</v>
      </c>
      <c r="C3" s="88"/>
      <c r="D3" s="88"/>
      <c r="E3" s="88"/>
      <c r="F3" s="88"/>
      <c r="G3" s="1"/>
    </row>
    <row r="4" spans="1:7" ht="25.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108</v>
      </c>
      <c r="F9" s="36"/>
      <c r="G9" s="1"/>
    </row>
    <row r="10" spans="1:7" x14ac:dyDescent="0.25">
      <c r="A10" s="1"/>
      <c r="B10" s="56" t="s">
        <v>155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142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143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m3Pv+4jm/UtbbqyavgEYZZ973WFSCc7gkfPAlxpqcm/eesOhJRWzTNFhczr/7aIPDkuAGOUblFmgaj6f98GUjw==" saltValue="wJO1bbsVXWJ6Un27QXZpw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162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algorithmName="SHA-512" hashValue="PPXGUalN6Gp26KWslTb+e0wob89Ieq9ieI5a29ZUxmWn5Zlehrq635l/5Bssy2vR0N/VcYd8pugUiXb2aIiugw==" saltValue="5efRlfSG6clGh5VwQ7tOqw==" spinCount="100000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2" width="45.570312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5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10978293.447169963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Tillæg'!D14,'Fane 10. Tillæg'!F14)</f>
        <v>824364.41142133332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153356.08533207906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-203252.23704669738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11752761.706876677</v>
      </c>
      <c r="D15" s="18" t="s">
        <v>3</v>
      </c>
      <c r="E15" s="17">
        <f>C15</f>
        <v>11752761.706876677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146</v>
      </c>
      <c r="C17" s="11">
        <f>127500*1.0169*1.0169</f>
        <v>131845.91527499998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147</v>
      </c>
      <c r="C18" s="11">
        <f>-(C17*(GenereltKrav))</f>
        <v>-2241.3805596749999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3" t="s">
        <v>148</v>
      </c>
      <c r="C19" s="17">
        <f>SUM(C17:C18)</f>
        <v>129604.53471532497</v>
      </c>
      <c r="D19" s="18" t="s">
        <v>3</v>
      </c>
      <c r="E19" s="17">
        <f>C19</f>
        <v>129604.53471532497</v>
      </c>
      <c r="F19" s="18" t="s">
        <v>3</v>
      </c>
      <c r="G19" s="1"/>
    </row>
    <row r="20" spans="1:7" x14ac:dyDescent="0.25">
      <c r="A20" s="1"/>
      <c r="B20" s="44" t="s">
        <v>149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42" t="s">
        <v>147</v>
      </c>
      <c r="C21" s="11">
        <f>-C20*GenereltKrav</f>
        <v>0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3" t="s">
        <v>150</v>
      </c>
      <c r="C22" s="17">
        <f>SUM(C20:C21)</f>
        <v>0</v>
      </c>
      <c r="D22" s="18" t="s">
        <v>3</v>
      </c>
      <c r="E22" s="17">
        <f>C22</f>
        <v>0</v>
      </c>
      <c r="F22" s="18" t="s">
        <v>3</v>
      </c>
      <c r="G22" s="1"/>
    </row>
    <row r="23" spans="1:7" ht="15" customHeight="1" x14ac:dyDescent="0.25">
      <c r="A23" s="1"/>
      <c r="B23" s="38" t="s">
        <v>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2" t="s">
        <v>21</v>
      </c>
      <c r="C24" s="11">
        <f>'Fane 5. Ikke-påvirkelige omk.'!E17</f>
        <v>3206506.1026009293</v>
      </c>
      <c r="D24" s="8" t="s">
        <v>3</v>
      </c>
      <c r="E24" s="12"/>
      <c r="F24" s="13"/>
      <c r="G24" s="1"/>
    </row>
    <row r="25" spans="1:7" ht="15" customHeight="1" x14ac:dyDescent="0.25">
      <c r="A25" s="1"/>
      <c r="B25" s="42" t="s">
        <v>83</v>
      </c>
      <c r="C25" s="11">
        <v>0</v>
      </c>
      <c r="D25" s="8" t="s">
        <v>3</v>
      </c>
      <c r="E25" s="12"/>
      <c r="F25" s="13"/>
      <c r="G25" s="1"/>
    </row>
    <row r="26" spans="1:7" ht="15" customHeight="1" x14ac:dyDescent="0.25">
      <c r="A26" s="1"/>
      <c r="B26" s="29" t="s">
        <v>84</v>
      </c>
      <c r="C26" s="17">
        <f>SUM(C24:C25)</f>
        <v>3206506.1026009293</v>
      </c>
      <c r="D26" s="18" t="s">
        <v>3</v>
      </c>
      <c r="E26" s="17">
        <f>C26</f>
        <v>3206506.1026009293</v>
      </c>
      <c r="F26" s="18" t="s">
        <v>3</v>
      </c>
      <c r="G26" s="1"/>
    </row>
    <row r="27" spans="1:7" ht="28.5" customHeight="1" x14ac:dyDescent="0.25">
      <c r="A27" s="1"/>
      <c r="B27" s="38" t="s">
        <v>85</v>
      </c>
      <c r="C27" s="39"/>
      <c r="D27" s="39"/>
      <c r="E27" s="39"/>
      <c r="F27" s="40"/>
      <c r="G27" s="1"/>
    </row>
    <row r="28" spans="1:7" ht="15" customHeight="1" x14ac:dyDescent="0.25">
      <c r="A28" s="1"/>
      <c r="B28" s="41" t="s">
        <v>61</v>
      </c>
      <c r="C28" s="7">
        <v>0</v>
      </c>
      <c r="D28" s="8" t="s">
        <v>3</v>
      </c>
      <c r="E28" s="9"/>
      <c r="F28" s="10"/>
      <c r="G28" s="1"/>
    </row>
    <row r="29" spans="1:7" x14ac:dyDescent="0.25">
      <c r="A29" s="1"/>
      <c r="B29" s="41" t="s">
        <v>62</v>
      </c>
      <c r="C29" s="7">
        <v>0</v>
      </c>
      <c r="D29" s="8" t="s">
        <v>3</v>
      </c>
      <c r="E29" s="33"/>
      <c r="F29" s="13"/>
      <c r="G29" s="1"/>
    </row>
    <row r="30" spans="1:7" ht="26.25" x14ac:dyDescent="0.25">
      <c r="A30" s="1"/>
      <c r="B30" s="42" t="s">
        <v>63</v>
      </c>
      <c r="C30" s="7">
        <v>14696.67975174793</v>
      </c>
      <c r="D30" s="8" t="s">
        <v>3</v>
      </c>
      <c r="E30" s="32"/>
      <c r="F30" s="13"/>
      <c r="G30" s="1"/>
    </row>
    <row r="31" spans="1:7" x14ac:dyDescent="0.25">
      <c r="A31" s="1"/>
      <c r="B31" s="29" t="s">
        <v>64</v>
      </c>
      <c r="C31" s="17">
        <f>SUM(C28:C30)</f>
        <v>14696.67975174793</v>
      </c>
      <c r="D31" s="18" t="s">
        <v>3</v>
      </c>
      <c r="E31" s="17">
        <f>C31</f>
        <v>14696.67975174793</v>
      </c>
      <c r="F31" s="18" t="s">
        <v>3</v>
      </c>
      <c r="G31" s="1"/>
    </row>
    <row r="32" spans="1:7" x14ac:dyDescent="0.25">
      <c r="A32" s="1"/>
      <c r="B32" s="38" t="s">
        <v>15</v>
      </c>
      <c r="C32" s="39"/>
      <c r="D32" s="39"/>
      <c r="E32" s="39"/>
      <c r="F32" s="40"/>
      <c r="G32" s="1"/>
    </row>
    <row r="33" spans="1:7" x14ac:dyDescent="0.25">
      <c r="A33" s="1"/>
      <c r="B33" s="29" t="s">
        <v>23</v>
      </c>
      <c r="C33" s="17">
        <f>'Fane 7. Hist. over el. underdæk'!G14</f>
        <v>0</v>
      </c>
      <c r="D33" s="18" t="s">
        <v>3</v>
      </c>
      <c r="E33" s="17">
        <f>C33</f>
        <v>0</v>
      </c>
      <c r="F33" s="18" t="s">
        <v>3</v>
      </c>
      <c r="G33" s="1"/>
    </row>
    <row r="34" spans="1:7" x14ac:dyDescent="0.25">
      <c r="A34" s="1"/>
      <c r="B34" s="38" t="s">
        <v>35</v>
      </c>
      <c r="C34" s="39"/>
      <c r="D34" s="40"/>
      <c r="E34" s="20">
        <f>SUM(E15,E22,E26,E31,E33,E19)</f>
        <v>15103569.023944678</v>
      </c>
      <c r="F34" s="2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Xs+YFS/MDA8aE+oxDFFWBjBZCvinyXoj3zeu17zKclgMt5RpWwiqW41hLyQPYNSiuFlLO9MQ0eZ+K5qlvgiISg==" saltValue="NCx2PWEUZomebePhBeXRz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RowHeight="15" x14ac:dyDescent="0.25"/>
  <cols>
    <col min="1" max="1" width="5.140625" style="2" customWidth="1"/>
    <col min="2" max="2" width="47.855468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11752761.706876677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824045.13508478971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152721.0632446899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-202393.20709206324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11703089.563029302</v>
      </c>
      <c r="D14" s="18" t="s">
        <v>3</v>
      </c>
      <c r="E14" s="17">
        <f>C14</f>
        <v>11703089.563029302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4" t="s">
        <v>149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147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3" t="s">
        <v>150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omk.'!E17*(1+Prisudvikling2019)</f>
        <v>3260696.0557348849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83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84</v>
      </c>
      <c r="C22" s="17">
        <f>SUM(C20:C21)</f>
        <v>3260696.0557348849</v>
      </c>
      <c r="D22" s="18" t="s">
        <v>3</v>
      </c>
      <c r="E22" s="17">
        <f>C22</f>
        <v>3260696.0557348849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underdæk'!G13&gt;1,'Fane 7. Hist. over el. underdæk'!G14,0)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14963785.618764188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tesQmVVKzefVYaK2f1Bo0n4bO3yFH/d//cYa2Dr3dZn/RrjMuX20hY8ytWcjPvPPDwQh7WWHgBeMWOgoFBQnoA==" saltValue="kT6pb7cKKiSjhsw4tORIH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RowHeight="15" x14ac:dyDescent="0.25"/>
  <cols>
    <col min="1" max="1" width="2.8554687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3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88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48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11703089.563029302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105762.22549002749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199569.59522597666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-204143.16352367023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11804278.220221637</v>
      </c>
      <c r="D13" s="18" t="s">
        <v>3</v>
      </c>
      <c r="E13" s="17">
        <f>C13</f>
        <v>11804278.220221637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4" t="s">
        <v>149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147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3" t="s">
        <v>150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omk.'!E17*(1+Prisudvikling2019)^2</f>
        <v>3315801.819076804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83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84</v>
      </c>
      <c r="C21" s="17">
        <f>SUM(C19:C20)</f>
        <v>3315801.819076804</v>
      </c>
      <c r="D21" s="18" t="s">
        <v>3</v>
      </c>
      <c r="E21" s="17">
        <f>C21</f>
        <v>3315801.819076804</v>
      </c>
      <c r="F21" s="18" t="s">
        <v>3</v>
      </c>
      <c r="G21" s="1"/>
    </row>
    <row r="22" spans="1:7" x14ac:dyDescent="0.25">
      <c r="A22" s="1"/>
      <c r="B22" s="38" t="s">
        <v>122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-4929.9979774773419</v>
      </c>
      <c r="D23" s="18" t="s">
        <v>3</v>
      </c>
      <c r="E23" s="17">
        <f>C23</f>
        <v>-4929.9979774773419</v>
      </c>
      <c r="F23" s="18" t="s">
        <v>3</v>
      </c>
      <c r="G23" s="1"/>
    </row>
    <row r="24" spans="1:7" x14ac:dyDescent="0.25">
      <c r="A24" s="1"/>
      <c r="B24" s="38" t="s">
        <v>119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120</v>
      </c>
      <c r="C25" s="11">
        <f>'Fane 6. Korrektion prisloft 16'!G22</f>
        <v>141447.38908919139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118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121</v>
      </c>
      <c r="C27" s="55">
        <f>SUM(C25:C26)</f>
        <v>141447.38908919139</v>
      </c>
      <c r="D27" s="36" t="s">
        <v>3</v>
      </c>
      <c r="E27" s="17">
        <f>C27</f>
        <v>141447.38908919139</v>
      </c>
      <c r="F27" s="18" t="s">
        <v>3</v>
      </c>
      <c r="G27" s="1"/>
    </row>
    <row r="28" spans="1:7" x14ac:dyDescent="0.25">
      <c r="A28" s="1"/>
      <c r="B28" s="38" t="s">
        <v>82</v>
      </c>
      <c r="C28" s="39"/>
      <c r="D28" s="40"/>
      <c r="E28" s="20">
        <f>SUM(E13,E17,E21,E23,E27)</f>
        <v>15256597.430410156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M3JoXjS8jCI/fjhHkpDWFah/JvLOZYUpwy0SrgdVB3F3JToQoUZggQQcB078XA3AX/UE/SvBze5hJ2RP3d1dPw==" saltValue="AacpsbJMs9F3KJhukMf0iw==" spinCount="100000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RowHeight="15" x14ac:dyDescent="0.25"/>
  <cols>
    <col min="1" max="1" width="2.5703125" style="2" customWidth="1"/>
    <col min="2" max="2" width="49.5703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89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48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11804278.220221637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199492.30192174565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-204064.09887643752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11799706.423266945</v>
      </c>
      <c r="D12" s="18" t="s">
        <v>3</v>
      </c>
      <c r="E12" s="17">
        <f>C12</f>
        <v>11799706.423266945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4" t="s">
        <v>149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147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3" t="s">
        <v>150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omk.'!E17*(1+Prisudvikling2019)^3</f>
        <v>3371838.8698192015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83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84</v>
      </c>
      <c r="C20" s="17">
        <f>SUM(C18:C19)</f>
        <v>3371838.8698192015</v>
      </c>
      <c r="D20" s="18" t="s">
        <v>3</v>
      </c>
      <c r="E20" s="17">
        <f>C20</f>
        <v>3371838.8698192015</v>
      </c>
      <c r="F20" s="18" t="s">
        <v>3</v>
      </c>
      <c r="G20" s="1"/>
    </row>
    <row r="21" spans="1:7" x14ac:dyDescent="0.25">
      <c r="A21" s="1"/>
      <c r="B21" s="38" t="s">
        <v>122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-5013.3149432967084</v>
      </c>
      <c r="D22" s="18" t="s">
        <v>3</v>
      </c>
      <c r="E22" s="17">
        <f>C22</f>
        <v>-5013.3149432967084</v>
      </c>
      <c r="F22" s="18" t="s">
        <v>3</v>
      </c>
      <c r="G22" s="1"/>
    </row>
    <row r="23" spans="1:7" ht="15" customHeight="1" x14ac:dyDescent="0.25">
      <c r="A23" s="1"/>
      <c r="B23" s="38" t="s">
        <v>119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120</v>
      </c>
      <c r="C24" s="11">
        <f>'Fane 2.3. Økonomisk ramme 2021'!C25*(1+Prisudvikling2019)</f>
        <v>143837.84996479872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118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158</v>
      </c>
      <c r="C26" s="55">
        <f>SUM(C24:C25)</f>
        <v>143837.84996479872</v>
      </c>
      <c r="D26" s="36" t="s">
        <v>3</v>
      </c>
      <c r="E26" s="17">
        <f>C26</f>
        <v>143837.84996479872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15310369.828107649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algorithmName="SHA-512" hashValue="p9LTsB0bRj4fIJLwIyTU8EHoHV82lpTdMXVTn3kkC26xylGEeay9Ym+MDpOVuNglgER5JEbY14jqwQejgsUeLA==" saltValue="Atmgk/AaKgZf5RvMYKCvW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90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14132906.019949339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3154612.572779377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10978293.447169963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U1JAi1mr3X/IF97mV5dsUOamsmXToz3pn4tF0lKx7jfcZrAB6WOmBZz8YCfYVuLRhVgpmJRiev8g0qi8whWD2g==" saltValue="9Aba4qqUkkMVFRWYZ3M5aA==" spinCount="100000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4271132.2310131788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6947647.1540437043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11218779.385056883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4241074.9523154991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7078280.7753697056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11319355.727685206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-30057.278697679751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130633.62132600136</v>
      </c>
      <c r="H22" s="22" t="s">
        <v>3</v>
      </c>
      <c r="I22" s="1"/>
    </row>
    <row r="23" spans="1:9" ht="15" customHeight="1" x14ac:dyDescent="0.25">
      <c r="A23" s="1"/>
      <c r="B23" s="48" t="s">
        <v>137</v>
      </c>
      <c r="C23" s="49"/>
      <c r="D23" s="49"/>
      <c r="E23" s="49"/>
      <c r="F23" s="50"/>
      <c r="G23" s="20">
        <f>SUM(G21:G22)</f>
        <v>100576.34262832161</v>
      </c>
      <c r="H23" s="21" t="s">
        <v>3</v>
      </c>
      <c r="I23" s="1"/>
    </row>
    <row r="24" spans="1:9" ht="15" customHeight="1" x14ac:dyDescent="0.25">
      <c r="A24" s="1"/>
      <c r="B24" s="48" t="s">
        <v>138</v>
      </c>
      <c r="C24" s="49"/>
      <c r="D24" s="49"/>
      <c r="E24" s="49"/>
      <c r="F24" s="50"/>
      <c r="G24" s="20">
        <f>G23*(1+Prisudvikling2019)^3</f>
        <v>105762.22549002749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109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154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+yR5aadqF08SRJi03oKS/xJrJ4+pJ/lLUMYzoTaEzUdRsUb27a5clTpk9pXHQzLqq+QIs8JGcTmQCILSpD5SCQ==" saltValue="ebuJmCgeyzzdGFi/0OwR1A==" spinCount="100000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131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106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160</v>
      </c>
      <c r="C10" s="46"/>
      <c r="D10" s="47"/>
      <c r="E10" s="11">
        <v>2889793</v>
      </c>
      <c r="F10" s="22" t="s">
        <v>3</v>
      </c>
      <c r="G10" s="1"/>
      <c r="H10" s="1"/>
    </row>
    <row r="11" spans="1:8" x14ac:dyDescent="0.25">
      <c r="A11" s="1"/>
      <c r="B11" s="41" t="s">
        <v>151</v>
      </c>
      <c r="C11" s="46"/>
      <c r="D11" s="47"/>
      <c r="E11" s="11">
        <v>6350</v>
      </c>
      <c r="F11" s="22" t="s">
        <v>3</v>
      </c>
      <c r="G11" s="1"/>
      <c r="H11" s="1"/>
    </row>
    <row r="12" spans="1:8" x14ac:dyDescent="0.25">
      <c r="A12" s="1"/>
      <c r="B12" s="41" t="s">
        <v>152</v>
      </c>
      <c r="C12" s="46"/>
      <c r="D12" s="47"/>
      <c r="E12" s="11">
        <v>38911</v>
      </c>
      <c r="F12" s="22" t="s">
        <v>3</v>
      </c>
      <c r="G12" s="1"/>
      <c r="H12" s="1"/>
    </row>
    <row r="13" spans="1:8" ht="15.75" customHeight="1" x14ac:dyDescent="0.25">
      <c r="A13" s="1"/>
      <c r="B13" s="41" t="s">
        <v>153</v>
      </c>
      <c r="C13" s="46"/>
      <c r="D13" s="47"/>
      <c r="E13" s="11">
        <v>78442</v>
      </c>
      <c r="F13" s="22" t="s">
        <v>3</v>
      </c>
      <c r="G13" s="1"/>
      <c r="H13" s="1"/>
    </row>
    <row r="14" spans="1:8" ht="29.25" customHeight="1" x14ac:dyDescent="0.25">
      <c r="A14" s="1"/>
      <c r="B14" s="41" t="s">
        <v>165</v>
      </c>
      <c r="C14" s="46"/>
      <c r="D14" s="47"/>
      <c r="E14" s="11">
        <v>81217</v>
      </c>
      <c r="F14" s="22" t="s">
        <v>164</v>
      </c>
      <c r="G14" s="1"/>
      <c r="H14" s="1"/>
    </row>
    <row r="15" spans="1:8" ht="29.25" customHeight="1" x14ac:dyDescent="0.25">
      <c r="A15" s="1"/>
      <c r="B15" s="41" t="s">
        <v>166</v>
      </c>
      <c r="C15" s="46"/>
      <c r="D15" s="47"/>
      <c r="E15" s="11">
        <v>6100</v>
      </c>
      <c r="F15" s="22" t="s">
        <v>164</v>
      </c>
      <c r="G15" s="1"/>
      <c r="H15" s="1"/>
    </row>
    <row r="16" spans="1:8" x14ac:dyDescent="0.25">
      <c r="A16" s="1"/>
      <c r="B16" s="38" t="s">
        <v>134</v>
      </c>
      <c r="C16" s="39"/>
      <c r="D16" s="40"/>
      <c r="E16" s="20">
        <f>SUM(E10:E15)</f>
        <v>3100813</v>
      </c>
      <c r="F16" s="21" t="s">
        <v>3</v>
      </c>
      <c r="G16" s="1"/>
      <c r="H16" s="1"/>
    </row>
    <row r="17" spans="1:8" x14ac:dyDescent="0.25">
      <c r="A17" s="1"/>
      <c r="B17" s="38" t="s">
        <v>135</v>
      </c>
      <c r="C17" s="39"/>
      <c r="D17" s="40"/>
      <c r="E17" s="20">
        <f>E16*(1+Prisudvikling2019)^2</f>
        <v>3206506.1026009293</v>
      </c>
      <c r="F17" s="21" t="s">
        <v>3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algorithmName="SHA-512" hashValue="Snsh4w7OeXR1qoasRB85S8deVk8M73LrdpPeI/j2qCAY/epH1XCOd9UpswTz5dFoBfwOTPkhDMsexfKfh98CMA==" saltValue="O09uyWlia7Pl9zQzFEH/Ow==" spinCount="100000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122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33</v>
      </c>
      <c r="C9" s="93"/>
      <c r="D9" s="94"/>
      <c r="E9" s="11">
        <v>-18124.22</v>
      </c>
      <c r="F9" s="22" t="s">
        <v>3</v>
      </c>
      <c r="G9" s="19"/>
      <c r="H9" s="27"/>
      <c r="I9" s="1"/>
    </row>
    <row r="10" spans="1:9" x14ac:dyDescent="0.25">
      <c r="A10" s="1"/>
      <c r="B10" s="95" t="s">
        <v>113</v>
      </c>
      <c r="C10" s="96"/>
      <c r="D10" s="97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5" t="s">
        <v>123</v>
      </c>
      <c r="C11" s="96"/>
      <c r="D11" s="97"/>
      <c r="E11" s="11">
        <f>E9/E10</f>
        <v>-4531.0550000000003</v>
      </c>
      <c r="F11" s="22" t="s">
        <v>3</v>
      </c>
      <c r="G11" s="14"/>
      <c r="H11" s="28"/>
      <c r="I11" s="1"/>
    </row>
    <row r="12" spans="1:9" x14ac:dyDescent="0.25">
      <c r="A12" s="1"/>
      <c r="B12" s="89" t="s">
        <v>129</v>
      </c>
      <c r="C12" s="90"/>
      <c r="D12" s="90"/>
      <c r="E12" s="90"/>
      <c r="F12" s="91"/>
      <c r="G12" s="20">
        <f>E11</f>
        <v>-4531.0550000000003</v>
      </c>
      <c r="H12" s="21" t="s">
        <v>3</v>
      </c>
      <c r="I12" s="1"/>
    </row>
    <row r="13" spans="1:9" x14ac:dyDescent="0.25">
      <c r="A13" s="1"/>
      <c r="B13" s="89" t="s">
        <v>125</v>
      </c>
      <c r="C13" s="90"/>
      <c r="D13" s="90"/>
      <c r="E13" s="90"/>
      <c r="F13" s="91"/>
      <c r="G13" s="20">
        <f>G12*(1+Prisudvikling2018)*(1+Prisudvikling2019)^4</f>
        <v>-4929.9979774773419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120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2" t="s">
        <v>120</v>
      </c>
      <c r="C18" s="93"/>
      <c r="D18" s="94"/>
      <c r="E18" s="11">
        <v>520005</v>
      </c>
      <c r="F18" s="22" t="s">
        <v>3</v>
      </c>
      <c r="G18" s="14"/>
      <c r="H18" s="28"/>
      <c r="I18" s="1"/>
    </row>
    <row r="19" spans="1:9" x14ac:dyDescent="0.25">
      <c r="A19" s="1"/>
      <c r="B19" s="95" t="s">
        <v>113</v>
      </c>
      <c r="C19" s="96"/>
      <c r="D19" s="97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5" t="s">
        <v>124</v>
      </c>
      <c r="C20" s="96"/>
      <c r="D20" s="97"/>
      <c r="E20" s="11">
        <f>E18/E19</f>
        <v>130001.25</v>
      </c>
      <c r="F20" s="22" t="s">
        <v>3</v>
      </c>
      <c r="G20" s="14"/>
      <c r="H20" s="28"/>
      <c r="I20" s="1"/>
    </row>
    <row r="21" spans="1:9" x14ac:dyDescent="0.25">
      <c r="A21" s="1"/>
      <c r="B21" s="89" t="s">
        <v>129</v>
      </c>
      <c r="C21" s="90"/>
      <c r="D21" s="90"/>
      <c r="E21" s="90"/>
      <c r="F21" s="91"/>
      <c r="G21" s="20">
        <f>E20</f>
        <v>130001.25</v>
      </c>
      <c r="H21" s="21" t="s">
        <v>3</v>
      </c>
      <c r="I21" s="1"/>
    </row>
    <row r="22" spans="1:9" x14ac:dyDescent="0.25">
      <c r="A22" s="1"/>
      <c r="B22" s="89" t="s">
        <v>125</v>
      </c>
      <c r="C22" s="90"/>
      <c r="D22" s="90"/>
      <c r="E22" s="90"/>
      <c r="F22" s="91"/>
      <c r="G22" s="20">
        <f>G21*(1+Prisudvikling2018)*(1+Prisudvikling2019)^4</f>
        <v>141447.38908919139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algorithmName="SHA-512" hashValue="WRR0qWpc3z2MX8VxPL3PW/c5Uwua+uqC3MyqTM5tlSBkhcQhWGCBWcEVRz712LC1cg32y3wZN97W7Sj4wO+7eQ==" saltValue="2HKkjRnuTGqFIJv4KJpFCQ==" spinCount="100000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2020-08-06T09:16:22Z</dcterms:modified>
</cp:coreProperties>
</file>