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Vesthimmerlands Vand AS (S10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32" i="32" s="1"/>
  <c r="E34" i="32" s="1"/>
  <c r="C20" i="23" l="1"/>
  <c r="C20" i="15"/>
  <c r="C20" i="22"/>
  <c r="E28" i="32"/>
  <c r="C32" i="2" s="1"/>
  <c r="E11" i="37"/>
  <c r="C15" i="19"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<sst xmlns="http://schemas.openxmlformats.org/spreadsheetml/2006/main" count="612" uniqueCount="290">
  <si>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</si>
  <si>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</si>
  <si>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</si>
  <si>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</si>
  <si>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</si>
  <si>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</si>
  <si>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</si>
  <si>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</si>
  <si>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</si>
  <si>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</si>
  <si>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</si>
  <si>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</si>
  <si>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</si>
  <si>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</si>
  <si>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</si>
  <si>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</si>
  <si>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</si>
  <si>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</si>
  <si>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</si>
  <si>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</si>
  <si>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</si>
  <si>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</si>
  <si>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</si>
  <si>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</si>
  <si>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</si>
  <si>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</si>
  <si>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</si>
  <si>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</si>
  <si>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</si>
  <si>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</si>
  <si>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</si>
  <si>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</si>
  <si>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</si>
  <si>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</si>
  <si>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</si>
  <si>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</si>
  <si>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</si>
  <si>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</si>
  <si>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</si>
  <si>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</si>
  <si>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</si>
  <si>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</si>
  <si>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</si>
  <si>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</si>
  <si>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</si>
  <si>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</si>
  <si>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</si>
  <si>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</si>
  <si>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</si>
  <si>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</si>
  <si>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</si>
  <si>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</si>
  <si>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</si>
  <si>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</si>
  <si>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</si>
  <si>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</si>
  <si>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</si>
  <si>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</si>
  <si>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</si>
  <si>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</si>
  <si>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</si>
  <si>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</si>
  <si>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</si>
  <si>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</si>
  <si>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</si>
  <si>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</si>
  <si>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</si>
  <si>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</si>
  <si>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</si>
  <si>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</si>
  <si>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</si>
  <si>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</si>
  <si>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</si>
  <si>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</si>
  <si>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</si>
  <si>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</si>
  <si>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</si>
  <si>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</si>
  <si>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</si>
  <si>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</si>
  <si>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</si>
  <si>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</si>
  <si>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</si>
  <si>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</si>
  <si>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</si>
  <si>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</si>
  <si>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</si>
  <si>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</si>
  <si>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</si>
  <si>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</si>
  <si>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</si>
  <si>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</si>
  <si>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</si>
  <si>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</si>
  <si>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</si>
  <si>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</si>
  <si>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</si>
  <si>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</si>
  <si>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</si>
  <si>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</si>
  <si>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</si>
  <si>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</si>
  <si>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</si>
  <si>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</si>
  <si>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</si>
  <si>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</si>
  <si>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</si>
  <si>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</si>
  <si>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</si>
  <si>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</si>
  <si>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</si>
  <si>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</si>
  <si>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</si>
  <si>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</si>
  <si>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</si>
  <si>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</si>
  <si>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</si>
  <si>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</si>
  <si>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</si>
  <si>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</si>
  <si>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</si>
  <si>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</si>
  <si>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</si>
  <si>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</si>
  <si>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</si>
  <si>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</si>
  <si>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</si>
  <si>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</si>
  <si>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</si>
  <si>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</si>
  <si>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</si>
  <si>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</si>
  <si>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</si>
  <si>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</si>
  <si>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</si>
  <si>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</si>
  <si>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</si>
  <si>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</si>
  <si>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</si>
  <si>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</si>
  <si>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</si>
  <si>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</si>
  <si>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</si>
  <si>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</si>
  <si>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</si>
  <si>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</si>
  <si>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</si>
  <si>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</si>
  <si>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</si>
  <si>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</si>
  <si>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</si>
  <si>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</si>
  <si>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</si>
  <si>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</si>
  <si>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</si>
  <si>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</si>
  <si>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</si>
  <si>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</si>
  <si>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</si>
  <si>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</si>
  <si>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</si>
  <si>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</si>
  <si>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</si>
  <si>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</si>
  <si>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</si>
  <si>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</si>
  <si>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</si>
  <si>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</si>
  <si>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</si>
  <si>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</si>
  <si>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</si>
  <si>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</si>
  <si>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</si>
  <si>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</si>
  <si>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</si>
  <si>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</si>
  <si>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</si>
  <si>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</si>
  <si>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</si>
  <si>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</si>
  <si>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</si>
  <si>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</si>
  <si>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</si>
  <si>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</si>
  <si>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</si>
  <si>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</si>
  <si>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</si>
  <si>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</si>
  <si>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</si>
  <si>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</si>
  <si>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</si>
  <si>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</si>
  <si>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</si>
  <si>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</si>
  <si>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</si>
  <si>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</si>
  <si>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</si>
  <si>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</si>
  <si>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</si>
  <si>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</si>
  <si>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</si>
  <si>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</si>
  <si>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</si>
  <si>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</si>
  <si>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</si>
  <si>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</si>
  <si>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</si>
  <si>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</si>
  <si>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</si>
  <si>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</si>
  <si>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</si>
  <si>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</si>
  <si>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</si>
  <si>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</si>
  <si>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</si>
  <si>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</si>
  <si>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</si>
  <si>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</si>
  <si>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</si>
  <si>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</si>
  <si>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</si>
  <si>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</si>
  <si>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</si>
  <si>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</si>
  <si>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</si>
  <si>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</si>
  <si>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</si>
  <si>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</si>
  <si>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</si>
  <si>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</si>
  <si>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</si>
  <si>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</si>
  <si>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</si>
  <si>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</si>
  <si>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</si>
  <si>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</si>
  <si>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</si>
  <si>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</si>
  <si>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</si>
  <si>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</si>
  <si>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</si>
  <si>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</si>
  <si>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</si>
  <si>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</si>
  <si>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</si>
  <si>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</si>
  <si>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</si>
  <si>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</si>
  <si>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</si>
  <si>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</si>
  <si>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</si>
  <si>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</si>
  <si>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</si>
  <si>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</si>
  <si>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</si>
  <si>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</si>
  <si>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</si>
  <si>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</si>
  <si>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</si>
  <si>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</si>
  <si>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</si>
  <si>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</si>
  <si>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</si>
  <si>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</si>
  <si>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</si>
  <si>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</si>
  <si>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</si>
  <si>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</si>
  <si>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</si>
  <si>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</si>
  <si>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</si>
  <si>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</si>
  <si>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</si>
  <si>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</si>
  <si>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</si>
  <si>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</si>
  <si>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</si>
  <si>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</si>
  <si>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</si>
  <si>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</si>
  <si>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</si>
  <si>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Byggemodninger</t>
  </si>
  <si>
    <t>Oprensning af bassiner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</si>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</sst>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3"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password="DFE9"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926556</v>
      </c>
      <c r="D10" s="14" t="s">
        <v>3</v>
      </c>
      <c r="E10" s="1"/>
      <c r="F10" s="1"/>
    </row>
    <row r="11" spans="1:6" x14ac:dyDescent="0.25">
      <c r="A11" s="1"/>
      <c r="B11" s="94" t="s">
        <v>266</v>
      </c>
      <c r="C11" s="9">
        <v>109772</v>
      </c>
      <c r="D11" s="14" t="s">
        <v>3</v>
      </c>
      <c r="E11" s="1"/>
      <c r="F11" s="1"/>
    </row>
    <row r="12" spans="1:6" x14ac:dyDescent="0.25">
      <c r="A12" s="1"/>
      <c r="B12" s="94" t="s">
        <v>267</v>
      </c>
      <c r="C12" s="9">
        <v>162669</v>
      </c>
      <c r="D12" s="14" t="s">
        <v>3</v>
      </c>
      <c r="E12" s="1"/>
      <c r="F12" s="1"/>
    </row>
    <row r="13" spans="1:6" x14ac:dyDescent="0.25">
      <c r="A13" s="1"/>
      <c r="B13" s="94" t="s">
        <v>268</v>
      </c>
      <c r="C13" s="9">
        <v>169655</v>
      </c>
      <c r="D13" s="14" t="s">
        <v>3</v>
      </c>
      <c r="E13" s="1"/>
      <c r="F13" s="1"/>
    </row>
    <row r="14" spans="1:6" x14ac:dyDescent="0.25">
      <c r="A14" s="1"/>
      <c r="B14" s="94" t="s">
        <v>269</v>
      </c>
      <c r="C14" s="9">
        <v>202516</v>
      </c>
      <c r="D14" s="14" t="s">
        <v>3</v>
      </c>
      <c r="E14" s="1"/>
      <c r="F14" s="1"/>
    </row>
    <row r="15" spans="1:6" x14ac:dyDescent="0.25">
      <c r="A15" s="1"/>
      <c r="B15" s="32" t="s">
        <v>200</v>
      </c>
      <c r="C15" s="12">
        <f>SUM(C10:C14)</f>
        <v>1571168</v>
      </c>
      <c r="D15" s="13" t="s">
        <v>3</v>
      </c>
      <c r="E15" s="1"/>
      <c r="F15" s="1"/>
    </row>
    <row r="16" spans="1:6" x14ac:dyDescent="0.25">
      <c r="A16" s="1"/>
      <c r="B16" s="32" t="s">
        <v>201</v>
      </c>
      <c r="C16" s="12">
        <f>C15*(1+'Fane 15. Nøgletal'!C15)^2</f>
        <v>1685026.3970764801</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117</v>
      </c>
      <c r="C19" s="132"/>
      <c r="D19" s="133"/>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202</v>
      </c>
      <c r="C23" s="9">
        <v>0</v>
      </c>
      <c r="D23" s="40"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98</v>
      </c>
      <c r="C27" s="132"/>
      <c r="D27" s="133"/>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password="DFE9"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-42371.957668989897</v>
      </c>
      <c r="F9" s="14" t="s">
        <v>3</v>
      </c>
      <c r="G9" s="1"/>
    </row>
    <row r="10" spans="1:7" x14ac:dyDescent="0.25">
      <c r="A10" s="1"/>
      <c r="B10" s="136" t="s">
        <v>263</v>
      </c>
      <c r="C10" s="137"/>
      <c r="D10" s="138"/>
      <c r="E10" s="9">
        <v>0</v>
      </c>
      <c r="F10" s="14" t="s">
        <v>3</v>
      </c>
      <c r="G10" s="1"/>
    </row>
    <row r="11" spans="1:7" x14ac:dyDescent="0.25">
      <c r="A11" s="1"/>
      <c r="B11" s="32"/>
      <c r="C11" s="27"/>
      <c r="D11" s="27"/>
      <c r="E11" s="27"/>
      <c r="F11" s="19"/>
      <c r="G11" s="1"/>
    </row>
    <row r="12" spans="1:7" ht="80.25" customHeight="1" x14ac:dyDescent="0.25">
      <c r="A12" s="1"/>
      <c r="B12" s="121" t="s">
        <v>288</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283</v>
      </c>
      <c r="C15" s="137"/>
      <c r="D15" s="138"/>
      <c r="E15" s="9">
        <v>0</v>
      </c>
      <c r="F15" s="14" t="s">
        <v>3</v>
      </c>
      <c r="G15" s="1"/>
    </row>
    <row r="16" spans="1:7" x14ac:dyDescent="0.25">
      <c r="A16" s="1"/>
      <c r="B16" s="136" t="s">
        <v>284</v>
      </c>
      <c r="C16" s="137"/>
      <c r="D16" s="138"/>
      <c r="E16" s="9">
        <v>0</v>
      </c>
      <c r="F16" s="14" t="s">
        <v>3</v>
      </c>
      <c r="G16" s="1"/>
    </row>
    <row r="17" spans="1:7" x14ac:dyDescent="0.25">
      <c r="A17" s="1"/>
      <c r="B17" s="32"/>
      <c r="C17" s="27"/>
      <c r="D17" s="27"/>
      <c r="E17" s="27"/>
      <c r="F17" s="19"/>
      <c r="G17" s="1"/>
    </row>
    <row r="18" spans="1:7" ht="31.5" customHeight="1" x14ac:dyDescent="0.25">
      <c r="A18" s="1"/>
      <c r="B18" s="121" t="s">
        <v>289</v>
      </c>
      <c r="C18" s="122"/>
      <c r="D18" s="122"/>
      <c r="E18" s="122"/>
      <c r="F18" s="123"/>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81357726.618839949</v>
      </c>
      <c r="F21" s="14" t="s">
        <v>3</v>
      </c>
      <c r="G21" s="1"/>
    </row>
    <row r="22" spans="1:7" x14ac:dyDescent="0.25">
      <c r="A22" s="1"/>
      <c r="B22" s="91" t="s">
        <v>207</v>
      </c>
      <c r="C22" s="92"/>
      <c r="D22" s="93"/>
      <c r="E22" s="9">
        <v>80889282</v>
      </c>
      <c r="F22" s="14" t="s">
        <v>3</v>
      </c>
      <c r="G22" s="1"/>
    </row>
    <row r="23" spans="1:7" x14ac:dyDescent="0.25">
      <c r="A23" s="1"/>
      <c r="B23" s="91" t="s">
        <v>33</v>
      </c>
      <c r="C23" s="92"/>
      <c r="D23" s="93"/>
      <c r="E23" s="9">
        <v>0</v>
      </c>
      <c r="F23" s="14" t="s">
        <v>3</v>
      </c>
      <c r="G23" s="1"/>
    </row>
    <row r="24" spans="1:7" x14ac:dyDescent="0.25">
      <c r="A24" s="1"/>
      <c r="B24" s="89" t="s">
        <v>270</v>
      </c>
      <c r="C24" s="90"/>
      <c r="D24" s="96"/>
      <c r="E24" s="72">
        <f>E21-(E22-E23)</f>
        <v>468444.61883994937</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285</v>
      </c>
      <c r="C27" s="132"/>
      <c r="D27" s="132"/>
      <c r="E27" s="132"/>
      <c r="F27" s="133"/>
      <c r="G27" s="1"/>
    </row>
    <row r="28" spans="1:7" x14ac:dyDescent="0.25">
      <c r="A28" s="1"/>
      <c r="B28" s="134" t="s">
        <v>286</v>
      </c>
      <c r="C28" s="135"/>
      <c r="D28" s="158"/>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1" t="s">
        <v>143</v>
      </c>
      <c r="C32" s="152"/>
      <c r="D32" s="153"/>
      <c r="E32" s="74">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0</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9"/>
      <c r="C40" s="49"/>
      <c r="D40" s="49"/>
      <c r="E40" s="49"/>
      <c r="F40" s="49"/>
    </row>
    <row r="41" spans="1:7" x14ac:dyDescent="0.25">
      <c r="A41" s="49"/>
      <c r="B41" s="49"/>
      <c r="C41" s="49"/>
      <c r="D41" s="49"/>
      <c r="E41" s="49"/>
      <c r="F41" s="49"/>
      <c r="G41" s="49"/>
    </row>
    <row r="42" spans="1:7" x14ac:dyDescent="0.25">
      <c r="A42" s="49"/>
      <c r="B42" s="49"/>
      <c r="C42" s="49"/>
      <c r="D42" s="49"/>
      <c r="E42" s="49"/>
      <c r="F42" s="49"/>
      <c r="G42" s="49"/>
    </row>
  </sheetData>
  <sheetProtection password="DFE9"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272</v>
      </c>
      <c r="C10" s="160"/>
      <c r="D10" s="160"/>
      <c r="E10" s="160"/>
      <c r="F10" s="161"/>
      <c r="G10" s="9">
        <v>0</v>
      </c>
      <c r="H10" s="9" t="s">
        <v>3</v>
      </c>
      <c r="I10" s="1"/>
    </row>
    <row r="11" spans="1:9" x14ac:dyDescent="0.25">
      <c r="A11" s="1"/>
      <c r="B11" s="159" t="s">
        <v>273</v>
      </c>
      <c r="C11" s="160"/>
      <c r="D11" s="160"/>
      <c r="E11" s="160"/>
      <c r="F11" s="161"/>
      <c r="G11" s="9">
        <v>0</v>
      </c>
      <c r="H11" s="9" t="s">
        <v>3</v>
      </c>
      <c r="I11" s="1"/>
    </row>
    <row r="12" spans="1:9" x14ac:dyDescent="0.25">
      <c r="A12" s="1"/>
      <c r="B12" s="159" t="s">
        <v>274</v>
      </c>
      <c r="C12" s="160"/>
      <c r="D12" s="160"/>
      <c r="E12" s="160"/>
      <c r="F12" s="161"/>
      <c r="G12" s="9">
        <v>0</v>
      </c>
      <c r="H12" s="9" t="s">
        <v>3</v>
      </c>
      <c r="I12" s="1"/>
    </row>
    <row r="13" spans="1:9" x14ac:dyDescent="0.25">
      <c r="A13" s="1"/>
      <c r="B13" s="159" t="s">
        <v>275</v>
      </c>
      <c r="C13" s="160"/>
      <c r="D13" s="160"/>
      <c r="E13" s="160"/>
      <c r="F13" s="161"/>
      <c r="G13" s="9">
        <v>0</v>
      </c>
      <c r="H13" s="9" t="s">
        <v>3</v>
      </c>
      <c r="I13" s="1"/>
    </row>
    <row r="14" spans="1:9" x14ac:dyDescent="0.25">
      <c r="A14" s="1"/>
      <c r="B14" s="159" t="s">
        <v>276</v>
      </c>
      <c r="C14" s="160"/>
      <c r="D14" s="160"/>
      <c r="E14" s="160"/>
      <c r="F14" s="161"/>
      <c r="G14" s="9">
        <v>0</v>
      </c>
      <c r="H14" s="9" t="s">
        <v>3</v>
      </c>
      <c r="I14" s="1"/>
    </row>
    <row r="15" spans="1:9" x14ac:dyDescent="0.25">
      <c r="A15" s="1"/>
      <c r="B15" s="159" t="s">
        <v>277</v>
      </c>
      <c r="C15" s="160"/>
      <c r="D15" s="160"/>
      <c r="E15" s="160"/>
      <c r="F15" s="161"/>
      <c r="G15" s="9">
        <v>0</v>
      </c>
      <c r="H15" s="9" t="s">
        <v>3</v>
      </c>
      <c r="I15" s="1"/>
    </row>
    <row r="16" spans="1:9" x14ac:dyDescent="0.25">
      <c r="A16" s="1"/>
      <c r="B16" s="159" t="s">
        <v>278</v>
      </c>
      <c r="C16" s="160"/>
      <c r="D16" s="160"/>
      <c r="E16" s="160"/>
      <c r="F16" s="161"/>
      <c r="G16" s="9">
        <v>0</v>
      </c>
      <c r="H16" s="9" t="s">
        <v>3</v>
      </c>
      <c r="I16" s="1"/>
    </row>
    <row r="17" spans="1:9" x14ac:dyDescent="0.25">
      <c r="A17" s="1"/>
      <c r="B17" s="159" t="s">
        <v>279</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password="DFE9"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8"/>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0</v>
      </c>
      <c r="F14" s="8" t="s">
        <v>3</v>
      </c>
      <c r="G14" s="1"/>
    </row>
    <row r="15" spans="1:7" x14ac:dyDescent="0.25">
      <c r="A15" s="1"/>
      <c r="B15" s="121" t="s">
        <v>211</v>
      </c>
      <c r="C15" s="122"/>
      <c r="D15" s="123"/>
      <c r="E15" s="9">
        <v>0</v>
      </c>
      <c r="F15" s="8" t="s">
        <v>3</v>
      </c>
      <c r="G15" s="1"/>
    </row>
    <row r="16" spans="1:7" x14ac:dyDescent="0.25">
      <c r="A16" s="1"/>
      <c r="B16" s="134" t="s">
        <v>101</v>
      </c>
      <c r="C16" s="135"/>
      <c r="D16" s="158"/>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password="DFE9"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280</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password="DFE9"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281</v>
      </c>
      <c r="C11" s="21">
        <v>514046</v>
      </c>
      <c r="D11" s="14" t="s">
        <v>3</v>
      </c>
      <c r="E11" s="9">
        <f>368377+482364</f>
        <v>850741</v>
      </c>
      <c r="F11" s="14" t="s">
        <v>3</v>
      </c>
      <c r="G11" s="1"/>
    </row>
    <row r="12" spans="1:7" x14ac:dyDescent="0.25">
      <c r="A12" s="1"/>
      <c r="B12" s="23" t="s">
        <v>282</v>
      </c>
      <c r="C12" s="21">
        <v>101074</v>
      </c>
      <c r="D12" s="14" t="s">
        <v>3</v>
      </c>
      <c r="E12" s="9">
        <v>0</v>
      </c>
      <c r="F12" s="14" t="s">
        <v>3</v>
      </c>
      <c r="G12" s="1"/>
    </row>
    <row r="13" spans="1:7" x14ac:dyDescent="0.25">
      <c r="A13" s="1"/>
      <c r="B13" s="32" t="s">
        <v>156</v>
      </c>
      <c r="C13" s="12">
        <f>SUM(C10:C12)</f>
        <v>615120</v>
      </c>
      <c r="D13" s="13" t="s">
        <v>3</v>
      </c>
      <c r="E13" s="12">
        <f>SUM(E10:E12)</f>
        <v>850741</v>
      </c>
      <c r="F13" s="13" t="s">
        <v>3</v>
      </c>
      <c r="G13" s="1"/>
    </row>
    <row r="14" spans="1:7" x14ac:dyDescent="0.25">
      <c r="A14" s="1"/>
      <c r="B14" s="32" t="s">
        <v>213</v>
      </c>
      <c r="C14" s="12">
        <f>C13*(1+'Fane 15. Nøgletal'!C15)</f>
        <v>637018.272</v>
      </c>
      <c r="D14" s="13" t="s">
        <v>3</v>
      </c>
      <c r="E14" s="12">
        <f>E13*(1+'Fane 15. Nøgletal'!C15)</f>
        <v>881027.3796000001</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password="DFE9"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282</v>
      </c>
      <c r="C10" s="21">
        <v>1010736</v>
      </c>
      <c r="D10" s="14" t="s">
        <v>3</v>
      </c>
      <c r="E10" s="9">
        <v>0</v>
      </c>
      <c r="F10" s="14" t="s">
        <v>3</v>
      </c>
      <c r="G10" s="1"/>
    </row>
    <row r="11" spans="1:7" x14ac:dyDescent="0.25">
      <c r="A11" s="1"/>
      <c r="B11" s="32" t="s">
        <v>232</v>
      </c>
      <c r="C11" s="12">
        <f>SUM(C10:C10)</f>
        <v>1010736</v>
      </c>
      <c r="D11" s="13" t="s">
        <v>3</v>
      </c>
      <c r="E11" s="12">
        <f>SUM(E10:E10)</f>
        <v>0</v>
      </c>
      <c r="F11" s="13" t="s">
        <v>3</v>
      </c>
      <c r="G11" s="1"/>
    </row>
    <row r="12" spans="1:7" x14ac:dyDescent="0.25">
      <c r="A12" s="1"/>
      <c r="B12" s="32" t="s">
        <v>136</v>
      </c>
      <c r="C12" s="12">
        <f>C11*(1+'Fane 15. Nøgletal'!C15)^2</f>
        <v>1083981.3695769601</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password="DFE9"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password="DFE9"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85546875" style="2" customWidth="1"/>
    <col min="2" max="2" width="40" style="2" customWidth="1"/>
    <col min="3" max="3" width="15.5703125" style="2" customWidth="1"/>
    <col min="4" max="4" width="3.28515625" style="2" customWidth="1"/>
    <col min="5" max="5" width="17.140625" style="2" customWidth="1"/>
    <col min="6" max="6" width="3.28515625" style="2" customWidth="1"/>
    <col min="7" max="7" width="2.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271</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password="DFE9"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password="DFE9"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78850631.318209454</v>
      </c>
      <c r="D9" s="8" t="s">
        <v>3</v>
      </c>
      <c r="E9" s="1"/>
    </row>
    <row r="10" spans="1:5" ht="17.25" customHeight="1" x14ac:dyDescent="0.25">
      <c r="A10" s="1"/>
      <c r="B10" s="83" t="s">
        <v>39</v>
      </c>
      <c r="C10" s="7">
        <f>'Fane 11.1. Varige tillæg'!C14</f>
        <v>637018.272</v>
      </c>
      <c r="D10" s="8" t="s">
        <v>3</v>
      </c>
      <c r="E10" s="1"/>
    </row>
    <row r="11" spans="1:5" ht="17.25" customHeight="1" x14ac:dyDescent="0.25">
      <c r="A11" s="1"/>
      <c r="B11" s="83" t="s">
        <v>40</v>
      </c>
      <c r="C11" s="9">
        <f>'Fane 11.1. Varige tillæg'!E14</f>
        <v>881027.3796000001</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314249.50854705123</v>
      </c>
      <c r="D16" s="8" t="s">
        <v>3</v>
      </c>
      <c r="E16" s="1"/>
    </row>
    <row r="17" spans="1:5" ht="17.25" customHeight="1" x14ac:dyDescent="0.25">
      <c r="A17" s="1"/>
      <c r="B17" s="83" t="s">
        <v>10</v>
      </c>
      <c r="C17" s="44">
        <f>-SUM(C9,C10:C16)*'Fane 5. Individuelt eff. krav'!G9</f>
        <v>-252061.81668993679</v>
      </c>
      <c r="D17" s="8" t="s">
        <v>3</v>
      </c>
      <c r="E17" s="1"/>
    </row>
    <row r="18" spans="1:5" ht="17.25" customHeight="1" x14ac:dyDescent="0.25">
      <c r="A18" s="1"/>
      <c r="B18" s="83" t="s">
        <v>24</v>
      </c>
      <c r="C18" s="44">
        <f>-'Fane 4.1. Gen. krav - drift'!G45</f>
        <v>-559379.64103499567</v>
      </c>
      <c r="D18" s="8" t="s">
        <v>3</v>
      </c>
      <c r="E18" s="1"/>
    </row>
    <row r="19" spans="1:5" ht="17.25" customHeight="1" x14ac:dyDescent="0.25">
      <c r="A19" s="1"/>
      <c r="B19" s="83" t="s">
        <v>25</v>
      </c>
      <c r="C19" s="44">
        <f>-'Fane 4.2. Gen. krav - anlæg'!G43</f>
        <v>-772340.63981695066</v>
      </c>
      <c r="D19" s="8" t="s">
        <v>3</v>
      </c>
      <c r="E19" s="48"/>
    </row>
    <row r="20" spans="1:5" ht="17.25" customHeight="1" x14ac:dyDescent="0.25">
      <c r="A20" s="1"/>
      <c r="B20" s="89" t="s">
        <v>21</v>
      </c>
      <c r="C20" s="10">
        <f>SUM(C9:C19)</f>
        <v>79099144.380814627</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1685026.3970764801</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1083981.3695769601</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-25066.097431726816</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1058915.2721452333</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81843086.050036341</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password="DFE9"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zDR0ngisEKm73zW4DBRLcE/s0o21BRD7cMamphVnMTXmbuLq52NrNxwgwOqcOGV9E5XlcJ5r2g78oxUULutjsA==" saltValue="Tmf83N8Mz9S4yRTRkSbfN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79099144.380814627</v>
      </c>
      <c r="D9" s="8" t="s">
        <v>3</v>
      </c>
      <c r="E9" s="1"/>
    </row>
    <row r="10" spans="1:5" ht="15" customHeight="1" x14ac:dyDescent="0.25">
      <c r="A10" s="1"/>
      <c r="B10" s="25" t="s">
        <v>19</v>
      </c>
      <c r="C10" s="7">
        <f>SUM(C9:C9)*'Fane 15. Nøgletal'!C15</f>
        <v>2815929.5399570009</v>
      </c>
      <c r="D10" s="8" t="s">
        <v>3</v>
      </c>
      <c r="E10" s="1"/>
    </row>
    <row r="11" spans="1:5" ht="15" customHeight="1" x14ac:dyDescent="0.25">
      <c r="A11" s="1"/>
      <c r="B11" s="25" t="s">
        <v>10</v>
      </c>
      <c r="C11" s="9">
        <f>-SUM(C9:C10)*'Fane 5. Individuelt eff. krav'!G9</f>
        <v>-255911.1728836332</v>
      </c>
      <c r="D11" s="8" t="s">
        <v>3</v>
      </c>
      <c r="E11" s="1"/>
    </row>
    <row r="12" spans="1:5" ht="15" customHeight="1" x14ac:dyDescent="0.25">
      <c r="A12" s="1"/>
      <c r="B12" s="25" t="s">
        <v>24</v>
      </c>
      <c r="C12" s="9">
        <f>-'Fane 4.1. Gen. krav - drift'!G53</f>
        <v>-567707.6851307248</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81091455.062757269</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omk.'!C26+'Fane 6. Ikke-påvirkelige omk.'!C34</f>
        <v>1745013.3368124028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82836468.399569675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password="DFE9"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81091455.062757269</v>
      </c>
      <c r="D9" s="8" t="s">
        <v>3</v>
      </c>
      <c r="E9" s="1"/>
    </row>
    <row r="10" spans="1:5" ht="15" customHeight="1" x14ac:dyDescent="0.25">
      <c r="A10" s="1"/>
      <c r="B10" s="25" t="s">
        <v>19</v>
      </c>
      <c r="C10" s="7">
        <f>SUM(C9:C9)*'Fane 15. Nøgletal'!C15</f>
        <v>2886855.8002341585</v>
      </c>
      <c r="D10" s="8" t="s">
        <v>3</v>
      </c>
      <c r="E10" s="1"/>
    </row>
    <row r="11" spans="1:5" ht="15" customHeight="1" x14ac:dyDescent="0.25">
      <c r="A11" s="1"/>
      <c r="B11" s="25" t="s">
        <v>10</v>
      </c>
      <c r="C11" s="9">
        <f>-SUM(C9:C10)*'Fane 5. Individuelt eff. krav'!G9</f>
        <v>-262356.9387304784</v>
      </c>
      <c r="D11" s="8" t="s">
        <v>3</v>
      </c>
      <c r="E11" s="1"/>
    </row>
    <row r="12" spans="1:5" ht="15" customHeight="1" x14ac:dyDescent="0.25">
      <c r="A12" s="1"/>
      <c r="B12" s="25" t="s">
        <v>24</v>
      </c>
      <c r="C12" s="9">
        <f>-'Fane 4.1. Gen. krav - drift'!G58</f>
        <v>-576159.71714695101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83139794.207113996</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1807135.8116029245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84946930.018716916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password="DFE9"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83139794.207113996</v>
      </c>
      <c r="D9" s="8" t="s">
        <v>3</v>
      </c>
      <c r="E9" s="1"/>
    </row>
    <row r="10" spans="1:5" ht="15" customHeight="1" x14ac:dyDescent="0.25">
      <c r="A10" s="1"/>
      <c r="B10" s="25" t="s">
        <v>19</v>
      </c>
      <c r="C10" s="7">
        <f>SUM(C9:C9)*'Fane 15. Nøgletal'!C15</f>
        <v>2959776.6737732585</v>
      </c>
      <c r="D10" s="8" t="s">
        <v>3</v>
      </c>
      <c r="E10" s="1"/>
    </row>
    <row r="11" spans="1:5" ht="15" customHeight="1" x14ac:dyDescent="0.25">
      <c r="A11" s="1"/>
      <c r="B11" s="25" t="s">
        <v>10</v>
      </c>
      <c r="C11" s="9">
        <f>-SUM(C9:C10)*'Fane 5. Individuelt eff. krav'!G9</f>
        <v>-268983.97467377654</v>
      </c>
      <c r="D11" s="8" t="s">
        <v>3</v>
      </c>
      <c r="E11" s="1"/>
    </row>
    <row r="12" spans="1:5" ht="15" customHeight="1" x14ac:dyDescent="0.25">
      <c r="A12" s="1"/>
      <c r="B12" s="25" t="s">
        <v>24</v>
      </c>
      <c r="C12" s="9">
        <f>-'Fane 4.1. Gen. krav - drift'!G63</f>
        <v>-584737.5830158348</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85245849.323197648</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1871469.8464959888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87117319.169693634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password="DFE9"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21" t="s">
        <v>192</v>
      </c>
      <c r="C9" s="122"/>
      <c r="D9" s="123"/>
      <c r="E9" s="7">
        <v>79687664.880393311</v>
      </c>
      <c r="F9" s="8" t="s">
        <v>3</v>
      </c>
      <c r="G9" s="1"/>
    </row>
    <row r="10" spans="1:7" ht="15" customHeight="1" x14ac:dyDescent="0.25">
      <c r="A10" s="1"/>
      <c r="B10" s="125" t="s">
        <v>39</v>
      </c>
      <c r="C10" s="126"/>
      <c r="D10" s="127"/>
      <c r="E10" s="7">
        <v>329763.64070000005</v>
      </c>
      <c r="F10" s="8" t="s">
        <v>3</v>
      </c>
      <c r="G10" s="1"/>
    </row>
    <row r="11" spans="1:7" ht="15" customHeight="1" x14ac:dyDescent="0.25">
      <c r="A11" s="1"/>
      <c r="B11" s="125" t="s">
        <v>40</v>
      </c>
      <c r="C11" s="126"/>
      <c r="D11" s="127"/>
      <c r="E11" s="9">
        <v>156790.70750000002</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264574.92345435789</v>
      </c>
      <c r="F16" s="8" t="s">
        <v>3</v>
      </c>
      <c r="G16" s="1"/>
    </row>
    <row r="17" spans="1:7" ht="15" customHeight="1" x14ac:dyDescent="0.25">
      <c r="A17" s="1"/>
      <c r="B17" s="121" t="s">
        <v>10</v>
      </c>
      <c r="C17" s="122"/>
      <c r="D17" s="123"/>
      <c r="E17" s="9">
        <v>-251299.12202369096</v>
      </c>
      <c r="F17" s="8" t="s">
        <v>3</v>
      </c>
      <c r="G17" s="1"/>
    </row>
    <row r="18" spans="1:7" ht="15" customHeight="1" x14ac:dyDescent="0.25">
      <c r="A18" s="1"/>
      <c r="B18" s="121" t="s">
        <v>24</v>
      </c>
      <c r="C18" s="122"/>
      <c r="D18" s="123"/>
      <c r="E18" s="9">
        <f>-'Fane 4.1. Gen. krav - drift'!G39</f>
        <v>-555499.21848240774</v>
      </c>
      <c r="F18" s="8" t="s">
        <v>3</v>
      </c>
      <c r="G18" s="1"/>
    </row>
    <row r="19" spans="1:7" ht="15" customHeight="1" x14ac:dyDescent="0.25">
      <c r="A19" s="1"/>
      <c r="B19" s="121" t="s">
        <v>25</v>
      </c>
      <c r="C19" s="122"/>
      <c r="D19" s="123"/>
      <c r="E19" s="9">
        <f>-'Fane 4.2. Gen. krav - anlæg'!G37</f>
        <v>-781364.49333212432</v>
      </c>
      <c r="F19" s="8" t="s">
        <v>3</v>
      </c>
      <c r="G19" s="1"/>
    </row>
    <row r="20" spans="1:7" ht="15" customHeight="1" x14ac:dyDescent="0.25">
      <c r="A20" s="1"/>
      <c r="B20" s="54" t="s">
        <v>21</v>
      </c>
      <c r="C20" s="90"/>
      <c r="D20" s="96"/>
      <c r="E20" s="51">
        <f>SUM(E9:E19)</f>
        <v>78850631.318209454</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1579017.1527658303</v>
      </c>
      <c r="F22" s="11" t="s">
        <v>3</v>
      </c>
      <c r="G22" s="1"/>
    </row>
    <row r="23" spans="1:7" ht="15" customHeight="1" x14ac:dyDescent="0.25">
      <c r="A23" s="1"/>
      <c r="B23" s="131" t="s">
        <v>86</v>
      </c>
      <c r="C23" s="132"/>
      <c r="D23" s="133"/>
      <c r="E23" s="27"/>
      <c r="F23" s="19"/>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80429648.47097528</v>
      </c>
      <c r="F35" s="52"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password="DFE9"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28515625" style="2" customWidth="1"/>
    <col min="2" max="5" width="9.140625" style="2"/>
    <col min="6" max="6" width="25.140625" style="2" customWidth="1"/>
    <col min="7" max="7" width="16.28515625" style="2" customWidth="1"/>
    <col min="8" max="8" width="3.42578125" style="2" customWidth="1"/>
    <col min="9" max="9" width="2.2851562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28110869.009620421</v>
      </c>
      <c r="H5" s="14" t="s">
        <v>3</v>
      </c>
      <c r="I5" s="1"/>
    </row>
    <row r="6" spans="1:9" x14ac:dyDescent="0.25">
      <c r="A6" s="1"/>
      <c r="B6" s="121" t="s">
        <v>120</v>
      </c>
      <c r="C6" s="122"/>
      <c r="D6" s="122"/>
      <c r="E6" s="122"/>
      <c r="F6" s="123"/>
      <c r="G6" s="77">
        <v>0</v>
      </c>
      <c r="H6" s="14" t="s">
        <v>3</v>
      </c>
      <c r="I6" s="1"/>
    </row>
    <row r="7" spans="1:9" x14ac:dyDescent="0.25">
      <c r="A7" s="1"/>
      <c r="B7" s="136" t="s">
        <v>42</v>
      </c>
      <c r="C7" s="137"/>
      <c r="D7" s="137"/>
      <c r="E7" s="137"/>
      <c r="F7" s="138"/>
      <c r="G7" s="76">
        <f>SUM(G5:G6)*'Fane 15. Nøgletal'!C31</f>
        <v>562217.38019240845</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28030753.032943003</v>
      </c>
      <c r="H11" s="14" t="s">
        <v>3</v>
      </c>
      <c r="I11" s="1"/>
    </row>
    <row r="12" spans="1:9" ht="15" customHeight="1" x14ac:dyDescent="0.25">
      <c r="A12" s="1"/>
      <c r="B12" s="136" t="s">
        <v>121</v>
      </c>
      <c r="C12" s="137"/>
      <c r="D12" s="137"/>
      <c r="E12" s="137"/>
      <c r="F12" s="138"/>
      <c r="G12" s="77">
        <v>0</v>
      </c>
      <c r="H12" s="14" t="s">
        <v>3</v>
      </c>
      <c r="I12" s="1"/>
    </row>
    <row r="13" spans="1:9" x14ac:dyDescent="0.25">
      <c r="A13" s="1"/>
      <c r="B13" s="121" t="s">
        <v>118</v>
      </c>
      <c r="C13" s="122"/>
      <c r="D13" s="122"/>
      <c r="E13" s="122"/>
      <c r="F13" s="123"/>
      <c r="G13" s="77">
        <v>0</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560615.06065886002</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27950865.386799116</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559017.30773598235</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27931467.486220676</v>
      </c>
      <c r="H25" s="14" t="s">
        <v>3</v>
      </c>
      <c r="I25" s="1"/>
    </row>
    <row r="26" spans="1:9" x14ac:dyDescent="0.25">
      <c r="A26" s="1"/>
      <c r="B26" s="143" t="s">
        <v>50</v>
      </c>
      <c r="C26" s="144"/>
      <c r="D26" s="144"/>
      <c r="E26" s="144"/>
      <c r="F26" s="145"/>
      <c r="G26" s="77">
        <v>0</v>
      </c>
      <c r="H26" s="14" t="s">
        <v>3</v>
      </c>
      <c r="I26" s="1"/>
    </row>
    <row r="27" spans="1:9" x14ac:dyDescent="0.25">
      <c r="A27" s="1"/>
      <c r="B27" s="136" t="s">
        <v>51</v>
      </c>
      <c r="C27" s="137"/>
      <c r="D27" s="137"/>
      <c r="E27" s="137"/>
      <c r="F27" s="138"/>
      <c r="G27" s="76">
        <f>(G25+G26)*'Fane 15. Nøgletal'!C31</f>
        <v>558629.34972441359</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27912083.047785241</v>
      </c>
      <c r="H31" s="14" t="s">
        <v>3</v>
      </c>
      <c r="I31" s="1"/>
    </row>
    <row r="32" spans="1:9" x14ac:dyDescent="0.25">
      <c r="A32" s="1"/>
      <c r="B32" s="136" t="s">
        <v>137</v>
      </c>
      <c r="C32" s="137"/>
      <c r="D32" s="137"/>
      <c r="E32" s="137"/>
      <c r="F32" s="138"/>
      <c r="G32" s="76">
        <v>0</v>
      </c>
      <c r="H32" s="14" t="s">
        <v>3</v>
      </c>
      <c r="I32" s="1"/>
    </row>
    <row r="33" spans="1:9" x14ac:dyDescent="0.25">
      <c r="A33" s="1"/>
      <c r="B33" s="136" t="s">
        <v>60</v>
      </c>
      <c r="C33" s="137"/>
      <c r="D33" s="137"/>
      <c r="E33" s="137"/>
      <c r="F33" s="138"/>
      <c r="G33" s="76">
        <f>(G31+G32)*'Fane 15. Nøgletal'!C31</f>
        <v>558241.66095570487</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27444109.063406076</v>
      </c>
      <c r="H37" s="14" t="s">
        <v>3</v>
      </c>
      <c r="I37" s="1"/>
    </row>
    <row r="38" spans="1:9" x14ac:dyDescent="0.25">
      <c r="A38" s="1"/>
      <c r="B38" s="136" t="s">
        <v>164</v>
      </c>
      <c r="C38" s="137"/>
      <c r="D38" s="137"/>
      <c r="E38" s="137"/>
      <c r="F38" s="138"/>
      <c r="G38" s="76">
        <v>330851.86071431008</v>
      </c>
      <c r="H38" s="14" t="s">
        <v>3</v>
      </c>
      <c r="I38" s="1"/>
    </row>
    <row r="39" spans="1:9" x14ac:dyDescent="0.25">
      <c r="A39" s="1"/>
      <c r="B39" s="136" t="s">
        <v>162</v>
      </c>
      <c r="C39" s="137"/>
      <c r="D39" s="137"/>
      <c r="E39" s="137"/>
      <c r="F39" s="138"/>
      <c r="G39" s="76">
        <f>(G37+G38)*'Fane 15. Nøgletal'!C31</f>
        <v>555499.21848240774</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6">
        <f>(G37+G38-G39)*(1+'Fane 15. Nøgletal'!C14)</f>
        <v>27309285.929266583</v>
      </c>
      <c r="H43" s="14" t="s">
        <v>3</v>
      </c>
      <c r="I43" s="1"/>
    </row>
    <row r="44" spans="1:9" x14ac:dyDescent="0.25">
      <c r="A44" s="1"/>
      <c r="B44" s="140" t="s">
        <v>230</v>
      </c>
      <c r="C44" s="141"/>
      <c r="D44" s="141"/>
      <c r="E44" s="141"/>
      <c r="F44" s="142"/>
      <c r="G44" s="80">
        <f>('Fane 2.1. Økonomisk ramme 2023'!C10+'Fane 2.1. Økonomisk ramme 2023'!C12+'Fane 2.1. Økonomisk ramme 2023'!C14)*(1+'Fane 15. Nøgletal'!C15)</f>
        <v>659696.12248320004</v>
      </c>
      <c r="H44" s="14" t="s">
        <v>3</v>
      </c>
      <c r="I44" s="1"/>
    </row>
    <row r="45" spans="1:9" x14ac:dyDescent="0.25">
      <c r="A45" s="1"/>
      <c r="B45" s="136" t="s">
        <v>163</v>
      </c>
      <c r="C45" s="137"/>
      <c r="D45" s="137"/>
      <c r="E45" s="137"/>
      <c r="F45" s="138"/>
      <c r="G45" s="76">
        <f>SUM(G43:G44)*'Fane 15. Nøgletal'!C31</f>
        <v>559379.64103499567</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6">
        <f>(G43+G44-G45)*(1+'Fane 15. Nøgletal'!C15)</f>
        <v>28385384.256536238</v>
      </c>
      <c r="H52" s="14" t="s">
        <v>3</v>
      </c>
      <c r="I52" s="1"/>
    </row>
    <row r="53" spans="1:9" x14ac:dyDescent="0.25">
      <c r="A53" s="1"/>
      <c r="B53" s="136" t="s">
        <v>138</v>
      </c>
      <c r="C53" s="137"/>
      <c r="D53" s="137"/>
      <c r="E53" s="137"/>
      <c r="F53" s="138"/>
      <c r="G53" s="76">
        <f>(G52)*'Fane 15. Nøgletal'!C31</f>
        <v>567707.6851307248</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28807985.857347548</v>
      </c>
      <c r="H57" s="14" t="s">
        <v>3</v>
      </c>
      <c r="I57" s="1"/>
    </row>
    <row r="58" spans="1:9" x14ac:dyDescent="0.25">
      <c r="A58" s="1"/>
      <c r="B58" s="91" t="s">
        <v>152</v>
      </c>
      <c r="C58" s="92"/>
      <c r="D58" s="92"/>
      <c r="E58" s="92"/>
      <c r="F58" s="93"/>
      <c r="G58" s="76">
        <f>(G57)*'Fane 15. Nøgletal'!C31</f>
        <v>576159.71714695101</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39"/>
      <c r="H61" s="133"/>
      <c r="I61" s="1"/>
    </row>
    <row r="62" spans="1:9" x14ac:dyDescent="0.25">
      <c r="A62" s="1"/>
      <c r="B62" s="91" t="s">
        <v>194</v>
      </c>
      <c r="C62" s="92"/>
      <c r="D62" s="92"/>
      <c r="E62" s="92"/>
      <c r="F62" s="93"/>
      <c r="G62" s="76">
        <f>(G57-G58)*(1+'Fane 15. Nøgletal'!C15)</f>
        <v>29236879.150791738</v>
      </c>
      <c r="H62" s="14" t="s">
        <v>3</v>
      </c>
      <c r="I62" s="1"/>
    </row>
    <row r="63" spans="1:9" x14ac:dyDescent="0.25">
      <c r="A63" s="1"/>
      <c r="B63" s="91" t="s">
        <v>195</v>
      </c>
      <c r="C63" s="92"/>
      <c r="D63" s="92"/>
      <c r="E63" s="92"/>
      <c r="F63" s="93"/>
      <c r="G63" s="76">
        <f>(G62)*'Fane 15. Nøgletal'!C31</f>
        <v>584737.5830158348</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password="DFE9"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140625" style="2" customWidth="1"/>
    <col min="2" max="5" width="9.140625" style="2"/>
    <col min="6" max="6" width="28"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53772690.155610107</v>
      </c>
      <c r="H5" s="14" t="s">
        <v>3</v>
      </c>
      <c r="I5" s="1"/>
    </row>
    <row r="6" spans="1:9" x14ac:dyDescent="0.25">
      <c r="A6" s="1"/>
      <c r="B6" s="136" t="s">
        <v>57</v>
      </c>
      <c r="C6" s="137"/>
      <c r="D6" s="137"/>
      <c r="E6" s="137"/>
      <c r="F6" s="138"/>
      <c r="G6" s="76">
        <f>G5*'Fane 15. Nøgletal'!C20</f>
        <v>489331.48041605199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54215817.452009954</v>
      </c>
      <c r="H10" s="14" t="s">
        <v>3</v>
      </c>
      <c r="I10" s="1"/>
    </row>
    <row r="11" spans="1:9" x14ac:dyDescent="0.25">
      <c r="A11" s="1"/>
      <c r="B11" s="136" t="s">
        <v>122</v>
      </c>
      <c r="C11" s="137"/>
      <c r="D11" s="137"/>
      <c r="E11" s="137"/>
      <c r="F11" s="138"/>
      <c r="G11" s="76">
        <v>224748.14474017272</v>
      </c>
      <c r="H11" s="14" t="s">
        <v>3</v>
      </c>
      <c r="I11" s="1"/>
    </row>
    <row r="12" spans="1:9" x14ac:dyDescent="0.25">
      <c r="A12" s="1"/>
      <c r="B12" s="143" t="s">
        <v>64</v>
      </c>
      <c r="C12" s="144"/>
      <c r="D12" s="144"/>
      <c r="E12" s="144"/>
      <c r="F12" s="145"/>
      <c r="G12" s="77">
        <v>0</v>
      </c>
      <c r="H12" s="14" t="s">
        <v>3</v>
      </c>
      <c r="I12" s="1"/>
    </row>
    <row r="13" spans="1:9" x14ac:dyDescent="0.25">
      <c r="A13" s="1"/>
      <c r="B13" s="136" t="s">
        <v>65</v>
      </c>
      <c r="C13" s="137"/>
      <c r="D13" s="137"/>
      <c r="E13" s="137"/>
      <c r="F13" s="138"/>
      <c r="G13" s="76">
        <f>SUM(G10:G12)*'Fane 15. Nøgletal'!C21</f>
        <v>963598.01106247725</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54412814.518437184</v>
      </c>
      <c r="H17" s="14" t="s">
        <v>3</v>
      </c>
      <c r="I17" s="1"/>
    </row>
    <row r="18" spans="1:9" x14ac:dyDescent="0.25">
      <c r="A18" s="1"/>
      <c r="B18" s="143" t="s">
        <v>68</v>
      </c>
      <c r="C18" s="144"/>
      <c r="D18" s="144"/>
      <c r="E18" s="144"/>
      <c r="F18" s="145"/>
      <c r="G18" s="76">
        <v>0</v>
      </c>
      <c r="H18" s="14" t="s">
        <v>3</v>
      </c>
      <c r="I18" s="1"/>
    </row>
    <row r="19" spans="1:9" x14ac:dyDescent="0.25">
      <c r="A19" s="1"/>
      <c r="B19" s="136" t="s">
        <v>69</v>
      </c>
      <c r="C19" s="137"/>
      <c r="D19" s="137"/>
      <c r="E19" s="137"/>
      <c r="F19" s="138"/>
      <c r="G19" s="76">
        <f>G17*'Fane 15. Nøgletal'!C21+G18*'Fane 15. Nøgletal'!C22</f>
        <v>963106.81697633816</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54502666.94317963</v>
      </c>
      <c r="H23" s="14" t="s">
        <v>3</v>
      </c>
      <c r="I23" s="1"/>
    </row>
    <row r="24" spans="1:9" x14ac:dyDescent="0.25">
      <c r="A24" s="1"/>
      <c r="B24" s="143" t="s">
        <v>72</v>
      </c>
      <c r="C24" s="144"/>
      <c r="D24" s="144"/>
      <c r="E24" s="144"/>
      <c r="F24" s="145"/>
      <c r="G24" s="76">
        <v>0</v>
      </c>
      <c r="H24" s="14" t="s">
        <v>3</v>
      </c>
      <c r="I24" s="1"/>
    </row>
    <row r="25" spans="1:9" x14ac:dyDescent="0.25">
      <c r="A25" s="1"/>
      <c r="B25" s="136" t="s">
        <v>73</v>
      </c>
      <c r="C25" s="137"/>
      <c r="D25" s="137"/>
      <c r="E25" s="137"/>
      <c r="F25" s="138"/>
      <c r="G25" s="76">
        <f>(G23+G24)*'Fane 15. Nøgletal'!C23</f>
        <v>1547875.7411863017</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53998000.588672601</v>
      </c>
      <c r="H29" s="14" t="s">
        <v>3</v>
      </c>
      <c r="I29" s="1"/>
    </row>
    <row r="30" spans="1:9" x14ac:dyDescent="0.25">
      <c r="A30" s="1"/>
      <c r="B30" s="136" t="s">
        <v>139</v>
      </c>
      <c r="C30" s="137"/>
      <c r="D30" s="137"/>
      <c r="E30" s="137"/>
      <c r="F30" s="138"/>
      <c r="G30" s="76">
        <v>0</v>
      </c>
      <c r="H30" s="14" t="s">
        <v>3</v>
      </c>
      <c r="I30" s="1"/>
    </row>
    <row r="31" spans="1:9" x14ac:dyDescent="0.25">
      <c r="A31" s="1"/>
      <c r="B31" s="136" t="s">
        <v>76</v>
      </c>
      <c r="C31" s="137"/>
      <c r="D31" s="137"/>
      <c r="E31" s="137"/>
      <c r="F31" s="138"/>
      <c r="G31" s="76">
        <f>G29*'Fane 15. Nøgletal'!C23+G30*'Fane 15. Nøgletal'!C24</f>
        <v>1533543.2167183019</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52637590.081281751</v>
      </c>
      <c r="H35" s="14" t="s">
        <v>3</v>
      </c>
      <c r="I35" s="1"/>
    </row>
    <row r="36" spans="1:9" x14ac:dyDescent="0.25">
      <c r="A36" s="1"/>
      <c r="B36" s="136" t="s">
        <v>167</v>
      </c>
      <c r="C36" s="137"/>
      <c r="D36" s="137"/>
      <c r="E36" s="137"/>
      <c r="F36" s="138"/>
      <c r="G36" s="76">
        <v>157308.11683475002</v>
      </c>
      <c r="H36" s="14" t="s">
        <v>3</v>
      </c>
      <c r="I36" s="1"/>
    </row>
    <row r="37" spans="1:9" x14ac:dyDescent="0.25">
      <c r="A37" s="1"/>
      <c r="B37" s="136" t="s">
        <v>166</v>
      </c>
      <c r="C37" s="137"/>
      <c r="D37" s="137"/>
      <c r="E37" s="137"/>
      <c r="F37" s="138"/>
      <c r="G37" s="76">
        <f>(G35+G36)*'Fane 15. Nøgletal'!C25</f>
        <v>781364.49333212432</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6">
        <f>(G35+G36-G37)*(1+'Fane 15. Nøgletal'!C14)</f>
        <v>52185178.366010174</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912391.95431376016</v>
      </c>
      <c r="H42" s="14" t="s">
        <v>3</v>
      </c>
      <c r="I42" s="1"/>
    </row>
    <row r="43" spans="1:9" x14ac:dyDescent="0.25">
      <c r="A43" s="1"/>
      <c r="B43" s="136" t="s">
        <v>168</v>
      </c>
      <c r="C43" s="137"/>
      <c r="D43" s="137"/>
      <c r="E43" s="137"/>
      <c r="F43" s="138"/>
      <c r="G43" s="76">
        <f>(G41)*'Fane 15. Nøgletal'!C25+G42*'Fane 15. Nøgletal'!C26</f>
        <v>772340.63981695066</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6">
        <f>(G41+G42-G43)*(1+'Fane 15. Nøgletal'!C15)</f>
        <v>54188007.857133046</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56117100.936846986</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6">
        <f>(G58-G59)*(1+'Fane 15. Nøgletal'!C15)</f>
        <v>58114869.730198741</v>
      </c>
      <c r="H63" s="14" t="s">
        <v>3</v>
      </c>
      <c r="I63" s="1"/>
    </row>
    <row r="64" spans="1:9" x14ac:dyDescent="0.25">
      <c r="A64" s="1"/>
      <c r="B64" s="136" t="s">
        <v>198</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password="DFE9"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3.1241035457179817E-3</v>
      </c>
      <c r="H9" s="1"/>
    </row>
    <row r="10" spans="1:8" x14ac:dyDescent="0.25">
      <c r="A10" s="1"/>
      <c r="B10" s="32"/>
      <c r="C10" s="27"/>
      <c r="D10" s="27"/>
      <c r="E10" s="27"/>
      <c r="F10" s="27"/>
      <c r="G10" s="19"/>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password="DFE9"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2022-12-01T08:39:03Z</dcterms:modified>
</cp:coreProperties>
</file>