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aderslev Vand AS (V071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34" i="11" l="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C14" i="19" l="1"/>
  <c r="E31" i="32" l="1"/>
  <c r="E16" i="27" l="1"/>
  <c r="E32" i="11" l="1"/>
  <c r="E33" i="11"/>
  <c r="E10" i="11"/>
  <c r="E15" i="32" l="1"/>
  <c r="E7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5" i="2" s="1"/>
  <c r="C30" i="39"/>
  <c r="C19" i="22" s="1"/>
  <c r="E22" i="39"/>
  <c r="C21" i="15" s="1"/>
  <c r="E30" i="39"/>
  <c r="C20" i="22" s="1"/>
  <c r="C22" i="39"/>
  <c r="C20" i="15" s="1"/>
  <c r="C14" i="39"/>
  <c r="C24" i="2" s="1"/>
  <c r="C21" i="22" l="1"/>
  <c r="C21" i="23"/>
  <c r="C22" i="15"/>
  <c r="C26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3" i="32"/>
  <c r="E37" i="32" s="1"/>
  <c r="E39" i="32" s="1"/>
  <c r="C24" i="15" l="1"/>
  <c r="C28" i="2"/>
  <c r="F34" i="11"/>
  <c r="C10" i="37" s="1"/>
  <c r="C12" i="37" s="1"/>
  <c r="G34" i="11"/>
  <c r="C13" i="37" l="1"/>
  <c r="C10" i="2" s="1"/>
  <c r="E11" i="21"/>
  <c r="E12" i="21" s="1"/>
  <c r="C11" i="21"/>
  <c r="C12" i="21" s="1"/>
  <c r="E11" i="29"/>
  <c r="E12" i="29" s="1"/>
  <c r="C11" i="29"/>
  <c r="C12" i="29" s="1"/>
  <c r="C15" i="19"/>
  <c r="C17" i="23" l="1"/>
  <c r="C17" i="22"/>
  <c r="C18" i="15"/>
  <c r="C14" i="2"/>
  <c r="C15" i="2"/>
  <c r="C22" i="2"/>
  <c r="C13" i="2"/>
  <c r="C12" i="2"/>
  <c r="G30" i="30" l="1"/>
  <c r="G29" i="30" l="1"/>
  <c r="E18" i="27"/>
  <c r="G31" i="30" l="1"/>
  <c r="E10" i="37"/>
  <c r="E12" i="37" s="1"/>
  <c r="G35" i="30" l="1"/>
  <c r="G37" i="30" s="1"/>
  <c r="C18" i="2"/>
  <c r="E13" i="37"/>
  <c r="C11" i="2" s="1"/>
  <c r="G30" i="36" s="1"/>
  <c r="G41" i="30" l="1"/>
  <c r="G43" i="30" s="1"/>
  <c r="C14" i="15"/>
  <c r="G31" i="36"/>
  <c r="C19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6" i="2"/>
  <c r="C17" i="2" s="1"/>
  <c r="C20" i="2" s="1"/>
  <c r="C29" i="2" s="1"/>
  <c r="C9" i="15" l="1"/>
  <c r="C12" i="15" l="1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<sst xmlns="http://schemas.openxmlformats.org/spreadsheetml/2006/main" count="659" uniqueCount="269">
  <si>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</si>
  <si>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</si>
  <si>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</si>
  <si>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</si>
  <si>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</si>
  <si>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</si>
  <si>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</si>
  <si>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</si>
  <si>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</si>
  <si>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</si>
  <si>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</si>
  <si>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</si>
  <si>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</si>
  <si>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</si>
  <si>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</si>
  <si>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</si>
  <si>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</si>
  <si>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</si>
  <si>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</si>
  <si>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</si>
  <si>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</si>
  <si>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</si>
  <si>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</si>
  <si>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</si>
  <si>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</si>
  <si>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</si>
  <si>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</si>
  <si>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</si>
  <si>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</si>
  <si>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</si>
  <si>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</si>
  <si>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</si>
  <si>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</si>
  <si>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</si>
  <si>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</si>
  <si>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</si>
  <si>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</si>
  <si>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</si>
  <si>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</si>
  <si>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</si>
  <si>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</si>
  <si>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</si>
  <si>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</si>
  <si>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</si>
  <si>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</si>
  <si>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</si>
  <si>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</si>
  <si>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</si>
  <si>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</si>
  <si>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</si>
  <si>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</si>
  <si>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</si>
  <si>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</si>
  <si>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</si>
  <si>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</si>
  <si>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</si>
  <si>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</si>
  <si>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</si>
  <si>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</si>
  <si>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</si>
  <si>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</si>
  <si>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</si>
  <si>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</si>
  <si>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</si>
  <si>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</si>
  <si>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</si>
  <si>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</si>
  <si>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</si>
  <si>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</si>
  <si>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</si>
  <si>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</si>
  <si>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</si>
  <si>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</si>
  <si>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</si>
  <si>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</si>
  <si>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</si>
  <si>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</si>
  <si>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</si>
  <si>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</si>
  <si>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</si>
  <si>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</si>
  <si>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</si>
  <si>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</si>
  <si>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</si>
  <si>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</si>
  <si>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</si>
  <si>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</si>
  <si>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</si>
  <si>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</si>
  <si>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</si>
  <si>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</si>
  <si>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</si>
  <si>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</si>
  <si>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</si>
  <si>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</si>
  <si>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</si>
  <si>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</si>
  <si>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</si>
  <si>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</si>
  <si>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</si>
  <si>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</si>
  <si>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</si>
  <si>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</si>
  <si>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</si>
  <si>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</si>
  <si>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</si>
  <si>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</si>
  <si>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</si>
  <si>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</si>
  <si>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</si>
  <si>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</si>
  <si>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</si>
  <si>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</si>
  <si>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</si>
  <si>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</si>
  <si>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</si>
  <si>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</si>
  <si>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</si>
  <si>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</si>
  <si>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</si>
  <si>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</si>
  <si>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</si>
  <si>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</si>
  <si>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</si>
  <si>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</si>
  <si>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</si>
  <si>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</si>
  <si>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</si>
  <si>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</si>
  <si>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</si>
  <si>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</si>
  <si>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</si>
  <si>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</si>
  <si>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</si>
  <si>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</si>
  <si>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</si>
  <si>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</si>
  <si>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</si>
  <si>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</si>
  <si>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</si>
  <si>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</si>
  <si>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</si>
  <si>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</si>
  <si>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</si>
  <si>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</si>
  <si>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</si>
  <si>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</si>
  <si>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</si>
  <si>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</si>
  <si>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</si>
  <si>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</si>
  <si>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</si>
  <si>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</si>
  <si>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</si>
  <si>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</si>
  <si>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</si>
  <si>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</si>
  <si>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</si>
  <si>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</si>
  <si>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</si>
  <si>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</si>
  <si>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</si>
  <si>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</si>
  <si>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</si>
  <si>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</si>
  <si>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</si>
  <si>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</si>
  <si>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</si>
  <si>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</si>
  <si>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</si>
  <si>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</si>
  <si>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</si>
  <si>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</si>
  <si>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</si>
  <si>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</si>
  <si>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</si>
  <si>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</si>
  <si>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</si>
  <si>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</si>
  <si>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</si>
  <si>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</si>
  <si>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</si>
  <si>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</si>
  <si>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</si>
  <si>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</si>
  <si>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</si>
  <si>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</si>
  <si>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</si>
  <si>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</si>
  <si>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</si>
  <si>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</si>
  <si>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</si>
  <si>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</si>
  <si>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</si>
  <si>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</si>
  <si>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</si>
  <si>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</si>
  <si>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</si>
  <si>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</si>
  <si>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</si>
  <si>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</si>
  <si>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</si>
  <si>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</si>
  <si>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</si>
  <si>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</si>
  <si>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</si>
  <si>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</si>
  <si>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</si>
  <si>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</si>
  <si>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</si>
  <si>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</si>
  <si>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</si>
  <si>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</si>
  <si>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</si>
  <si>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</si>
  <si>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</si>
  <si>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</si>
  <si>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</si>
  <si>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</si>
  <si>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</si>
  <si>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</si>
  <si>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</si>
  <si>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</si>
  <si>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</si>
  <si>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</si>
  <si>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</si>
  <si>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</si>
  <si>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</si>
  <si>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</si>
  <si>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</si>
  <si>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</si>
  <si>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</si>
  <si>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</si>
  <si>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</si>
  <si>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</si>
  <si>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</si>
  <si>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Ejendomsskat</t>
  </si>
  <si>
    <t>Erstatninger</t>
  </si>
  <si>
    <t>Ingen tilknyttet virksomhed</t>
  </si>
  <si>
    <t>Ingen bortfald eller nedsættelse</t>
  </si>
  <si>
    <t xml:space="preserve">Udvidelse af forsyningsområde </t>
  </si>
  <si>
    <t xml:space="preserve">Ingen engangstillæg </t>
  </si>
  <si>
    <t>Økonomisk ramme for 2024</t>
  </si>
  <si>
    <t>Afregningsmålere, elektroniske, maksimal gennemstrømning ≤ 4 m3/t</t>
  </si>
  <si>
    <t>10</t>
  </si>
  <si>
    <t>Ø 250 mm &lt; Ledningsnet ≤ Ø 500mm</t>
  </si>
  <si>
    <t>75</t>
  </si>
  <si>
    <t>Ventiler på Ø 50mm &lt; Ledningsnet ≤ Ø110 mm</t>
  </si>
  <si>
    <t>Ø110 mm &lt; Ledningsnet ≤ Ø 250 mm</t>
  </si>
  <si>
    <t>Pumpe inkl. stigrør og forerørsforsejlinger mv.</t>
  </si>
  <si>
    <t>15</t>
  </si>
  <si>
    <t>Filteranlæg, åbne filtre, enkelt filtrering, Mek./EL</t>
  </si>
  <si>
    <t>25</t>
  </si>
  <si>
    <t>Rentvandsbeholder  insitu støbt</t>
  </si>
  <si>
    <t>50</t>
  </si>
  <si>
    <t>Elanlæg - vandværk</t>
  </si>
  <si>
    <t>SRO anlæg</t>
  </si>
  <si>
    <t>Beluftningsanlæg, iltningstrappe, Mek./EL</t>
  </si>
  <si>
    <t>Filteranlæg, åbne filtre, enkelt filtrering, Kontruktioner</t>
  </si>
  <si>
    <t>Udpumpningsanlæg, rentvandspumper på vandværk</t>
  </si>
  <si>
    <t>Nødstrømsanlæg på vandværk</t>
  </si>
  <si>
    <t>SRO-anlæg, vandværk</t>
  </si>
  <si>
    <t>Etageareal vandbehandlingsbygning</t>
  </si>
  <si>
    <t>Sikring (terror, hærværk), Mek./EL</t>
  </si>
  <si>
    <t>Pumpestation (inkl. evt. hydrofor)/trykforøger, Mek./EL</t>
  </si>
  <si>
    <t xml:space="preserve">Coplater Mek-El </t>
  </si>
  <si>
    <t>Coplater Konstruktion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</si>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</sst>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6" t="s">
        <v>4</v>
      </c>
      <c r="E6" s="66"/>
      <c r="F6" s="66"/>
      <c r="G6" s="66"/>
      <c r="H6" s="3"/>
      <c r="I6" s="1"/>
    </row>
    <row r="7" spans="1:9" ht="15" customHeight="1" x14ac:dyDescent="0.45">
      <c r="A7" s="1"/>
      <c r="B7" s="1"/>
      <c r="C7" s="3"/>
      <c r="D7" s="66"/>
      <c r="E7" s="66"/>
      <c r="F7" s="66"/>
      <c r="G7" s="66"/>
      <c r="H7" s="3"/>
      <c r="I7" s="1"/>
    </row>
    <row r="8" spans="1:9" ht="15.75" x14ac:dyDescent="0.5">
      <c r="A8" s="1"/>
      <c r="B8" s="1"/>
      <c r="C8" s="4"/>
      <c r="D8" s="68" t="s">
        <v>206</v>
      </c>
      <c r="E8" s="68"/>
      <c r="F8" s="68"/>
      <c r="G8" s="68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3" t="s">
        <v>151</v>
      </c>
      <c r="E13" s="64"/>
      <c r="F13" s="64"/>
      <c r="G13" s="65"/>
      <c r="H13" s="1"/>
      <c r="I13" s="1"/>
    </row>
    <row r="14" spans="1:9" x14ac:dyDescent="0.45">
      <c r="A14" s="1"/>
      <c r="B14" s="1"/>
      <c r="C14" s="6" t="s">
        <v>15</v>
      </c>
      <c r="D14" s="63" t="s">
        <v>207</v>
      </c>
      <c r="E14" s="64"/>
      <c r="F14" s="64"/>
      <c r="G14" s="65"/>
      <c r="H14" s="1"/>
      <c r="I14" s="1"/>
    </row>
    <row r="15" spans="1:9" x14ac:dyDescent="0.45">
      <c r="A15" s="1"/>
      <c r="B15" s="1"/>
      <c r="C15" s="6" t="s">
        <v>40</v>
      </c>
      <c r="D15" s="63" t="s">
        <v>93</v>
      </c>
      <c r="E15" s="64"/>
      <c r="F15" s="64"/>
      <c r="G15" s="65"/>
      <c r="H15" s="1"/>
      <c r="I15" s="1"/>
    </row>
    <row r="16" spans="1:9" x14ac:dyDescent="0.45">
      <c r="A16" s="1"/>
      <c r="B16" s="1"/>
      <c r="C16" s="6" t="s">
        <v>41</v>
      </c>
      <c r="D16" s="63" t="s">
        <v>152</v>
      </c>
      <c r="E16" s="64"/>
      <c r="F16" s="64"/>
      <c r="G16" s="65"/>
      <c r="H16" s="1"/>
      <c r="I16" s="1"/>
    </row>
    <row r="17" spans="1:9" x14ac:dyDescent="0.45">
      <c r="A17" s="1"/>
      <c r="B17" s="1"/>
      <c r="C17" s="6" t="s">
        <v>150</v>
      </c>
      <c r="D17" s="63" t="s">
        <v>153</v>
      </c>
      <c r="E17" s="64"/>
      <c r="F17" s="64"/>
      <c r="G17" s="65"/>
      <c r="H17" s="1"/>
      <c r="I17" s="1"/>
    </row>
    <row r="18" spans="1:9" x14ac:dyDescent="0.45">
      <c r="A18" s="1"/>
      <c r="B18" s="1"/>
      <c r="C18" s="33" t="s">
        <v>134</v>
      </c>
      <c r="D18" s="69" t="s">
        <v>114</v>
      </c>
      <c r="E18" s="70"/>
      <c r="F18" s="70"/>
      <c r="G18" s="71"/>
      <c r="H18" s="1"/>
      <c r="I18" s="1"/>
    </row>
    <row r="19" spans="1:9" x14ac:dyDescent="0.45">
      <c r="A19" s="1"/>
      <c r="B19" s="1"/>
      <c r="C19" s="33" t="s">
        <v>135</v>
      </c>
      <c r="D19" s="69" t="s">
        <v>115</v>
      </c>
      <c r="E19" s="70"/>
      <c r="F19" s="70"/>
      <c r="G19" s="71"/>
      <c r="H19" s="1"/>
      <c r="I19" s="1"/>
    </row>
    <row r="20" spans="1:9" x14ac:dyDescent="0.45">
      <c r="A20" s="1"/>
      <c r="B20" s="1"/>
      <c r="C20" s="33" t="s">
        <v>7</v>
      </c>
      <c r="D20" s="69" t="s">
        <v>9</v>
      </c>
      <c r="E20" s="70"/>
      <c r="F20" s="70"/>
      <c r="G20" s="71"/>
      <c r="H20" s="1"/>
      <c r="I20" s="1"/>
    </row>
    <row r="21" spans="1:9" x14ac:dyDescent="0.45">
      <c r="A21" s="1"/>
      <c r="B21" s="1"/>
      <c r="C21" s="6" t="s">
        <v>136</v>
      </c>
      <c r="D21" s="60" t="s">
        <v>12</v>
      </c>
      <c r="E21" s="61"/>
      <c r="F21" s="61"/>
      <c r="G21" s="62"/>
      <c r="H21" s="1"/>
      <c r="I21" s="1"/>
    </row>
    <row r="22" spans="1:9" x14ac:dyDescent="0.45">
      <c r="A22" s="1"/>
      <c r="B22" s="1"/>
      <c r="C22" s="6" t="s">
        <v>97</v>
      </c>
      <c r="D22" s="54" t="s">
        <v>154</v>
      </c>
      <c r="E22" s="55"/>
      <c r="F22" s="55"/>
      <c r="G22" s="56"/>
      <c r="H22" s="1"/>
      <c r="I22" s="1"/>
    </row>
    <row r="23" spans="1:9" x14ac:dyDescent="0.45">
      <c r="A23" s="1"/>
      <c r="B23" s="1"/>
      <c r="C23" s="6" t="s">
        <v>8</v>
      </c>
      <c r="D23" s="54" t="s">
        <v>42</v>
      </c>
      <c r="E23" s="55"/>
      <c r="F23" s="55"/>
      <c r="G23" s="56"/>
      <c r="H23" s="1"/>
      <c r="I23" s="1"/>
    </row>
    <row r="24" spans="1:9" x14ac:dyDescent="0.45">
      <c r="A24" s="1"/>
      <c r="B24" s="1"/>
      <c r="C24" s="6" t="s">
        <v>217</v>
      </c>
      <c r="D24" s="54" t="s">
        <v>98</v>
      </c>
      <c r="E24" s="55"/>
      <c r="F24" s="55"/>
      <c r="G24" s="56"/>
      <c r="H24" s="1"/>
      <c r="I24" s="1"/>
    </row>
    <row r="25" spans="1:9" x14ac:dyDescent="0.45">
      <c r="A25" s="1"/>
      <c r="B25" s="1"/>
      <c r="C25" s="6" t="s">
        <v>218</v>
      </c>
      <c r="D25" s="54" t="s">
        <v>99</v>
      </c>
      <c r="E25" s="55"/>
      <c r="F25" s="55"/>
      <c r="G25" s="56"/>
      <c r="H25" s="1"/>
      <c r="I25" s="1"/>
    </row>
    <row r="26" spans="1:9" x14ac:dyDescent="0.45">
      <c r="A26" s="1"/>
      <c r="B26" s="1"/>
      <c r="C26" s="6" t="s">
        <v>219</v>
      </c>
      <c r="D26" s="54" t="s">
        <v>155</v>
      </c>
      <c r="E26" s="55"/>
      <c r="F26" s="55"/>
      <c r="G26" s="56"/>
      <c r="H26" s="1"/>
      <c r="I26" s="1"/>
    </row>
    <row r="27" spans="1:9" x14ac:dyDescent="0.45">
      <c r="A27" s="1"/>
      <c r="B27" s="1"/>
      <c r="C27" s="6" t="s">
        <v>137</v>
      </c>
      <c r="D27" s="54" t="s">
        <v>43</v>
      </c>
      <c r="E27" s="55"/>
      <c r="F27" s="55"/>
      <c r="G27" s="56"/>
      <c r="H27" s="1"/>
      <c r="I27" s="1"/>
    </row>
    <row r="28" spans="1:9" x14ac:dyDescent="0.45">
      <c r="A28" s="1"/>
      <c r="B28" s="1"/>
      <c r="C28" s="6" t="s">
        <v>128</v>
      </c>
      <c r="D28" s="57" t="s">
        <v>129</v>
      </c>
      <c r="E28" s="58"/>
      <c r="F28" s="58"/>
      <c r="G28" s="59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XFfozcFK0Hk8Dq32y3dwnJCx0exqJ2EWJ5t8Hh0TnCdXWH82HkSyV1xT+Ue2/Iqt97apVyK9Ro10kjykXLRfg==" saltValue="lJ2YRvy1E8kFQlrTdgdXUw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2" t="s">
        <v>140</v>
      </c>
      <c r="C3" s="72"/>
      <c r="D3" s="72"/>
      <c r="E3" s="1"/>
      <c r="F3" s="1"/>
    </row>
    <row r="4" spans="1:6" ht="15" customHeight="1" x14ac:dyDescent="0.45">
      <c r="A4" s="1"/>
      <c r="B4" s="72"/>
      <c r="C4" s="72"/>
      <c r="D4" s="72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5" t="s">
        <v>168</v>
      </c>
      <c r="C8" s="96"/>
      <c r="D8" s="97"/>
      <c r="E8" s="1"/>
      <c r="F8" s="1"/>
    </row>
    <row r="9" spans="1:6" ht="15" customHeight="1" x14ac:dyDescent="0.45">
      <c r="A9" s="1"/>
      <c r="B9" s="40" t="s">
        <v>35</v>
      </c>
      <c r="C9" s="11" t="s">
        <v>171</v>
      </c>
      <c r="D9" s="11"/>
      <c r="E9" s="1"/>
      <c r="F9" s="1"/>
    </row>
    <row r="10" spans="1:6" ht="15" customHeight="1" x14ac:dyDescent="0.45">
      <c r="A10" s="1"/>
      <c r="B10" s="48" t="s">
        <v>234</v>
      </c>
      <c r="C10" s="9">
        <v>10044817.51</v>
      </c>
      <c r="D10" s="14" t="s">
        <v>3</v>
      </c>
      <c r="E10" s="1"/>
      <c r="F10" s="1"/>
    </row>
    <row r="11" spans="1:6" x14ac:dyDescent="0.45">
      <c r="A11" s="1"/>
      <c r="B11" s="48" t="s">
        <v>235</v>
      </c>
      <c r="C11" s="9">
        <v>67244</v>
      </c>
      <c r="D11" s="14" t="s">
        <v>3</v>
      </c>
      <c r="E11" s="1"/>
      <c r="F11" s="1"/>
    </row>
    <row r="12" spans="1:6" x14ac:dyDescent="0.45">
      <c r="A12" s="1"/>
      <c r="B12" s="48" t="s">
        <v>236</v>
      </c>
      <c r="C12" s="9">
        <v>31188.400000000001</v>
      </c>
      <c r="D12" s="14" t="s">
        <v>3</v>
      </c>
      <c r="E12" s="1"/>
      <c r="F12" s="1"/>
    </row>
    <row r="13" spans="1:6" x14ac:dyDescent="0.45">
      <c r="A13" s="1"/>
      <c r="B13" s="48" t="s">
        <v>237</v>
      </c>
      <c r="C13" s="9">
        <v>40756.9</v>
      </c>
      <c r="D13" s="14" t="s">
        <v>3</v>
      </c>
      <c r="E13" s="1"/>
      <c r="F13" s="1"/>
    </row>
    <row r="14" spans="1:6" x14ac:dyDescent="0.45">
      <c r="A14" s="1"/>
      <c r="B14" s="45" t="s">
        <v>169</v>
      </c>
      <c r="C14" s="12">
        <f>SUM(C10:C13)</f>
        <v>10184006.810000001</v>
      </c>
      <c r="D14" s="13" t="s">
        <v>3</v>
      </c>
      <c r="E14" s="1"/>
      <c r="F14" s="1"/>
    </row>
    <row r="15" spans="1:6" x14ac:dyDescent="0.45">
      <c r="A15" s="1"/>
      <c r="B15" s="45" t="s">
        <v>170</v>
      </c>
      <c r="C15" s="12">
        <f>C14*(1+'Fane 12. Nøgletal'!C13)^2</f>
        <v>10434012.363737602</v>
      </c>
      <c r="D15" s="13" t="s">
        <v>3</v>
      </c>
      <c r="E15" s="1"/>
      <c r="F15" s="1"/>
    </row>
    <row r="16" spans="1:6" x14ac:dyDescent="0.45">
      <c r="A16" s="1"/>
      <c r="B16" s="16"/>
      <c r="C16" s="15"/>
      <c r="D16" s="15"/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</sheetData>
  <sheetProtection algorithmName="SHA-512" hashValue="vSsdbb0UqlgzRGjPU0vzz3WCeGD5tmmluv4e+uo2Rf1STdPjG7KUMe3FkXA9SMFslMmoqFfI4btYjU9b2kGQMA==" saltValue="O36EoGzpv7kklmhhD1FwN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ht="29.25" customHeight="1" x14ac:dyDescent="0.45">
      <c r="A2" s="1"/>
      <c r="B2" s="82" t="s">
        <v>172</v>
      </c>
      <c r="C2" s="82"/>
      <c r="D2" s="82"/>
      <c r="E2" s="82"/>
      <c r="F2" s="82"/>
      <c r="G2" s="1"/>
    </row>
    <row r="3" spans="1:7" ht="15" customHeight="1" x14ac:dyDescent="0.45">
      <c r="A3" s="1"/>
      <c r="B3" s="82"/>
      <c r="C3" s="82"/>
      <c r="D3" s="82"/>
      <c r="E3" s="82"/>
      <c r="F3" s="82"/>
      <c r="G3" s="1"/>
    </row>
    <row r="4" spans="1:7" ht="15" customHeight="1" x14ac:dyDescent="0.45">
      <c r="A4" s="1"/>
      <c r="B4" s="95" t="s">
        <v>39</v>
      </c>
      <c r="C4" s="96"/>
      <c r="D4" s="96"/>
      <c r="E4" s="96"/>
      <c r="F4" s="97"/>
      <c r="G4" s="1"/>
    </row>
    <row r="5" spans="1:7" ht="15" customHeight="1" x14ac:dyDescent="0.45">
      <c r="A5" s="1"/>
      <c r="B5" s="98" t="s">
        <v>37</v>
      </c>
      <c r="C5" s="99"/>
      <c r="D5" s="100"/>
      <c r="E5" s="9">
        <v>-495646.0050000007</v>
      </c>
      <c r="F5" s="14" t="s">
        <v>3</v>
      </c>
      <c r="G5" s="1"/>
    </row>
    <row r="6" spans="1:7" ht="15" customHeight="1" x14ac:dyDescent="0.45">
      <c r="A6" s="1"/>
      <c r="B6" s="98" t="s">
        <v>38</v>
      </c>
      <c r="C6" s="99"/>
      <c r="D6" s="100"/>
      <c r="E6" s="9">
        <v>187604.12263871357</v>
      </c>
      <c r="F6" s="14" t="s">
        <v>3</v>
      </c>
      <c r="G6" s="1"/>
    </row>
    <row r="7" spans="1:7" ht="15" customHeight="1" x14ac:dyDescent="0.45">
      <c r="A7" s="1"/>
      <c r="B7" s="106" t="s">
        <v>131</v>
      </c>
      <c r="C7" s="107"/>
      <c r="D7" s="108"/>
      <c r="E7" s="10">
        <f>SUM(E5:E6)</f>
        <v>-308041.88236128713</v>
      </c>
      <c r="F7" s="17" t="s">
        <v>3</v>
      </c>
      <c r="G7" s="1"/>
    </row>
    <row r="8" spans="1:7" ht="15" customHeight="1" x14ac:dyDescent="0.45">
      <c r="A8" s="1"/>
      <c r="B8" s="45"/>
      <c r="C8" s="46"/>
      <c r="D8" s="46"/>
      <c r="E8" s="46"/>
      <c r="F8" s="20"/>
      <c r="G8" s="1"/>
    </row>
    <row r="9" spans="1:7" ht="28.5" customHeight="1" x14ac:dyDescent="0.45">
      <c r="A9" s="1"/>
      <c r="B9" s="86" t="s">
        <v>132</v>
      </c>
      <c r="C9" s="87"/>
      <c r="D9" s="87"/>
      <c r="E9" s="87"/>
      <c r="F9" s="88"/>
      <c r="G9" s="1"/>
    </row>
    <row r="10" spans="1:7" ht="28.5" customHeight="1" x14ac:dyDescent="0.45">
      <c r="A10" s="1"/>
      <c r="B10" s="1"/>
      <c r="C10" s="1"/>
      <c r="D10" s="1"/>
      <c r="E10" s="1"/>
      <c r="F10" s="1"/>
      <c r="G10" s="1"/>
    </row>
    <row r="11" spans="1:7" x14ac:dyDescent="0.45">
      <c r="A11" s="1"/>
      <c r="B11" s="95" t="s">
        <v>116</v>
      </c>
      <c r="C11" s="96"/>
      <c r="D11" s="96"/>
      <c r="E11" s="96"/>
      <c r="F11" s="97"/>
      <c r="G11" s="1"/>
    </row>
    <row r="12" spans="1:7" x14ac:dyDescent="0.45">
      <c r="A12" s="1"/>
      <c r="B12" s="98" t="s">
        <v>117</v>
      </c>
      <c r="C12" s="99"/>
      <c r="D12" s="100"/>
      <c r="E12" s="9">
        <v>30734482.613341719</v>
      </c>
      <c r="F12" s="14" t="s">
        <v>3</v>
      </c>
      <c r="G12" s="1"/>
    </row>
    <row r="13" spans="1:7" x14ac:dyDescent="0.45">
      <c r="A13" s="1"/>
      <c r="B13" s="98" t="s">
        <v>118</v>
      </c>
      <c r="C13" s="99"/>
      <c r="D13" s="100"/>
      <c r="E13" s="9">
        <v>32384810</v>
      </c>
      <c r="F13" s="14" t="s">
        <v>3</v>
      </c>
      <c r="G13" s="1"/>
    </row>
    <row r="14" spans="1:7" x14ac:dyDescent="0.45">
      <c r="A14" s="1"/>
      <c r="B14" s="98" t="s">
        <v>36</v>
      </c>
      <c r="C14" s="99"/>
      <c r="D14" s="100"/>
      <c r="E14" s="9">
        <v>114000</v>
      </c>
      <c r="F14" s="14" t="s">
        <v>3</v>
      </c>
      <c r="G14" s="1"/>
    </row>
    <row r="15" spans="1:7" x14ac:dyDescent="0.45">
      <c r="A15" s="1"/>
      <c r="B15" s="106" t="s">
        <v>208</v>
      </c>
      <c r="C15" s="107"/>
      <c r="D15" s="108"/>
      <c r="E15" s="10">
        <f>E12-(E13-E14)</f>
        <v>-1536327.3866582811</v>
      </c>
      <c r="F15" s="17" t="s">
        <v>3</v>
      </c>
      <c r="G15" s="1"/>
    </row>
    <row r="16" spans="1:7" x14ac:dyDescent="0.45">
      <c r="A16" s="1"/>
      <c r="B16" s="45"/>
      <c r="C16" s="46"/>
      <c r="D16" s="46"/>
      <c r="E16" s="46"/>
      <c r="F16" s="20"/>
      <c r="G16" s="1"/>
    </row>
    <row r="17" spans="1:7" ht="30" customHeight="1" x14ac:dyDescent="0.45">
      <c r="A17" s="1"/>
      <c r="B17" s="86" t="s">
        <v>133</v>
      </c>
      <c r="C17" s="87"/>
      <c r="D17" s="87"/>
      <c r="E17" s="87"/>
      <c r="F17" s="88"/>
      <c r="G17" s="1"/>
    </row>
    <row r="18" spans="1:7" ht="28.5" customHeight="1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95" t="s">
        <v>50</v>
      </c>
      <c r="C19" s="96"/>
      <c r="D19" s="96"/>
      <c r="E19" s="96"/>
      <c r="F19" s="97"/>
      <c r="G19" s="1"/>
    </row>
    <row r="20" spans="1:7" x14ac:dyDescent="0.45">
      <c r="A20" s="1"/>
      <c r="B20" s="98" t="s">
        <v>51</v>
      </c>
      <c r="C20" s="99"/>
      <c r="D20" s="100"/>
      <c r="E20" s="9">
        <v>31452003.846216395</v>
      </c>
      <c r="F20" s="14" t="s">
        <v>3</v>
      </c>
      <c r="G20" s="1"/>
    </row>
    <row r="21" spans="1:7" x14ac:dyDescent="0.45">
      <c r="A21" s="1"/>
      <c r="B21" s="98" t="s">
        <v>52</v>
      </c>
      <c r="C21" s="99"/>
      <c r="D21" s="100"/>
      <c r="E21" s="9">
        <v>31238924</v>
      </c>
      <c r="F21" s="14" t="s">
        <v>3</v>
      </c>
      <c r="G21" s="1"/>
    </row>
    <row r="22" spans="1:7" x14ac:dyDescent="0.45">
      <c r="A22" s="1"/>
      <c r="B22" s="98" t="s">
        <v>36</v>
      </c>
      <c r="C22" s="99"/>
      <c r="D22" s="100"/>
      <c r="E22" s="9">
        <v>0</v>
      </c>
      <c r="F22" s="14" t="s">
        <v>3</v>
      </c>
      <c r="G22" s="1"/>
    </row>
    <row r="23" spans="1:7" x14ac:dyDescent="0.45">
      <c r="A23" s="1"/>
      <c r="B23" s="106" t="s">
        <v>209</v>
      </c>
      <c r="C23" s="107"/>
      <c r="D23" s="108"/>
      <c r="E23" s="10">
        <f>E20-(E21-E22)</f>
        <v>213079.8462163955</v>
      </c>
      <c r="F23" s="17" t="s">
        <v>3</v>
      </c>
      <c r="G23" s="1"/>
    </row>
    <row r="24" spans="1:7" x14ac:dyDescent="0.45">
      <c r="A24" s="1"/>
      <c r="B24" s="45"/>
      <c r="C24" s="46"/>
      <c r="D24" s="46"/>
      <c r="E24" s="46"/>
      <c r="F24" s="20"/>
      <c r="G24" s="1"/>
    </row>
    <row r="25" spans="1:7" ht="28.5" customHeight="1" x14ac:dyDescent="0.45">
      <c r="A25" s="1"/>
      <c r="B25" s="86" t="s">
        <v>179</v>
      </c>
      <c r="C25" s="87"/>
      <c r="D25" s="87"/>
      <c r="E25" s="87"/>
      <c r="F25" s="88"/>
      <c r="G25" s="1"/>
    </row>
    <row r="26" spans="1:7" ht="28.5" customHeight="1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95" t="s">
        <v>200</v>
      </c>
      <c r="C27" s="96"/>
      <c r="D27" s="96"/>
      <c r="E27" s="96"/>
      <c r="F27" s="97"/>
      <c r="G27" s="1"/>
    </row>
    <row r="28" spans="1:7" x14ac:dyDescent="0.45">
      <c r="A28" s="1"/>
      <c r="B28" s="98" t="s">
        <v>201</v>
      </c>
      <c r="C28" s="99"/>
      <c r="D28" s="100"/>
      <c r="E28" s="9">
        <v>29770102.242493019</v>
      </c>
      <c r="F28" s="14" t="s">
        <v>3</v>
      </c>
      <c r="G28" s="1"/>
    </row>
    <row r="29" spans="1:7" x14ac:dyDescent="0.45">
      <c r="A29" s="1"/>
      <c r="B29" s="98" t="s">
        <v>202</v>
      </c>
      <c r="C29" s="99"/>
      <c r="D29" s="100"/>
      <c r="E29" s="9">
        <v>31676864.309999999</v>
      </c>
      <c r="F29" s="14" t="s">
        <v>3</v>
      </c>
      <c r="G29" s="1"/>
    </row>
    <row r="30" spans="1:7" x14ac:dyDescent="0.45">
      <c r="A30" s="1"/>
      <c r="B30" s="98" t="s">
        <v>36</v>
      </c>
      <c r="C30" s="99"/>
      <c r="D30" s="100"/>
      <c r="E30" s="9">
        <v>0</v>
      </c>
      <c r="F30" s="14" t="s">
        <v>3</v>
      </c>
      <c r="G30" s="1"/>
    </row>
    <row r="31" spans="1:7" x14ac:dyDescent="0.45">
      <c r="A31" s="1"/>
      <c r="B31" s="106" t="s">
        <v>210</v>
      </c>
      <c r="C31" s="107"/>
      <c r="D31" s="108"/>
      <c r="E31" s="10">
        <f>E28-(E29-E30)</f>
        <v>-1906762.0675069802</v>
      </c>
      <c r="F31" s="17" t="s">
        <v>3</v>
      </c>
      <c r="G31" s="1"/>
    </row>
    <row r="32" spans="1:7" x14ac:dyDescent="0.45">
      <c r="A32" s="1"/>
      <c r="B32" s="45"/>
      <c r="C32" s="46"/>
      <c r="D32" s="46"/>
      <c r="E32" s="46"/>
      <c r="F32" s="20"/>
      <c r="G32" s="1"/>
    </row>
    <row r="33" spans="1:7" ht="28.5" customHeight="1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95" t="s">
        <v>125</v>
      </c>
      <c r="C34" s="96"/>
      <c r="D34" s="96"/>
      <c r="E34" s="96"/>
      <c r="F34" s="97"/>
      <c r="G34" s="1"/>
    </row>
    <row r="35" spans="1:7" x14ac:dyDescent="0.45">
      <c r="A35" s="1"/>
      <c r="B35" s="109" t="s">
        <v>267</v>
      </c>
      <c r="C35" s="110"/>
      <c r="D35" s="111"/>
      <c r="E35" s="9">
        <v>0</v>
      </c>
      <c r="F35" s="14"/>
      <c r="G35" s="1"/>
    </row>
    <row r="36" spans="1:7" x14ac:dyDescent="0.45">
      <c r="A36" s="1"/>
      <c r="B36" s="109" t="s">
        <v>268</v>
      </c>
      <c r="C36" s="110"/>
      <c r="D36" s="111"/>
      <c r="E36" s="9">
        <v>0</v>
      </c>
      <c r="F36" s="14"/>
      <c r="G36" s="1"/>
    </row>
    <row r="37" spans="1:7" x14ac:dyDescent="0.45">
      <c r="A37" s="1"/>
      <c r="B37" s="109" t="s">
        <v>113</v>
      </c>
      <c r="C37" s="110"/>
      <c r="D37" s="111"/>
      <c r="E37" s="9">
        <f>IF(AND(E7&lt;0,E15&gt;0,ABS(E15)&gt;ABS(E7),E23&gt;0,E31&gt;0),0,IF(AND(E7&lt;0,E15&gt;0,ABS(E15)&gt;ABS(E7),E23&lt;0,E31&gt;0,ABS(E7+E15)&gt;ABS(E23)),0,IF(AND(E7&lt;0,E15&gt;0,ABS(E15)&gt;ABS(E7),E23&lt;0,E31&gt;0,ABS(E7+E15)&lt;ABS(E23),ABS(E31)&gt;ABS(E15+E23)),0,IF(AND(E7&lt;0,E15&gt;0,ABS(E15)&gt;ABS(E7),E23&lt;0,E31&gt;0,ABS(E7+E15)&lt;ABS(E23),ABS(E31)&lt;ABS(E7+E15+E23)),(E7+E15+E23),IF(AND(E7&lt;0,E15&gt;0,ABS(E15)&gt;ABS(E7),E23&gt;0,E31&lt;0,ABS(E23)&gt;ABS(E31)),0,IF(AND(E35=0,E36=0,E7&lt;0,E15&gt;0,ABS(E15)&gt;ABS(E7),E23&gt;0,E31&lt;0,ABS(E31)&gt;ABS(E23)),(E23+E31),IF(AND(E35=1,E36=1,E7&lt;0,E15&gt;0,ABS(E15)&gt;ABS(E7),E23&gt;0,E31&lt;0,ABS(E31)&gt;ABS(E7+E15+E23)),(E7+E15+E23+E31),IF(AND(E35=1,E36=1,E7&lt;0,E15&gt;0,ABS(E15)&gt;ABS(E7),E23&gt;0,E31&lt;0,ABS(E31)&lt;ABS(E7+E15+E23)),0,IF(AND(E35=0,E36=0,E7&lt;0,E15&gt;0,ABS(E15)&gt;ABS(E7),E23&lt;0,E31&lt;0,ABS(E7+E15)&gt;ABS(E23)),E31,IF(AND(E35=1,E36=0,E7&lt;0,E15&gt;0,ABS(E15)&gt;ABS(E7),E23&lt;0,E31&lt;0,ABS(E7+E15)&gt;ABS(E23),ABS(E7+E15+E23)&gt;ABS(E31)),0,IF(AND(E35=1,E36=0,E7&lt;0,E15&gt;0,ABS(E15)&gt;ABS(E7),E23&lt;0,E31&lt;0,ABS(E7+E15)&gt;ABS(E23),ABS(E7+E15+E23)&lt;ABS(E31)),(E7+E15+E23+E31),IF(AND(E7&lt;0,E15&gt;0,ABS(E15)&gt;ABS(E7),E23&lt;0,E31&lt;0,ABS(E23)&gt;ABS(E7+E15)),(E7+E15+E23+E31),IF(AND(E7&lt;0,E15&lt;0,E23&lt;0,E31&lt;0),(E23+E31),IF(AND(E7&lt;0,E15&lt;0,E23&lt;0,E31&gt;0),E23,IF(AND(E7&lt;0,E15&lt;0,E23&gt;0,E31&lt;0,ABS(E31)&lt;ABS(E15+E23),ABS(E23)&gt;ABS(E15)),0,IF(AND(E7&lt;0,E15&lt;0,E23&gt;0,E31&lt;0,ABS(E31)&gt;ABS(E15+E23),ABS(E23)&gt;ABS(E15)),(E31+(E15+E23)),IF(AND(E7&lt;0,E15&lt;0,E23&gt;0,E31&lt;0,ABS(E15)&gt;ABS(E23)),E31,IF(AND(E7&lt;0,E15&lt;0,E23&gt;0,E31&gt;0),0,IF(AND(E7&gt;0,E15&gt;0,E23&gt;0,E31&gt;0),0,IF(AND(E7&gt;0,E15&gt;0,E23&lt;0,E31&gt;0,ABS(E15)&gt;ABS(E23)),0,IF(AND(E7&gt;0,E15&gt;0,E23&lt;0,E31&gt;0,ABS(E15)&lt;ABS(E23)),(E15+E23),IF(AND(E7&gt;0,E15&gt;0,E23&gt;0,E31&lt;0,ABS(E23)&gt;ABS(E31)),0,IF(AND(E35=0,E36=0,E7&gt;0,E15&gt;0,E23&gt;0,E31&lt;0,ABS(E31)&gt;ABS(E23)),(E23+E31),IF(AND(E35=1,E36=1,E7&gt;0,E15&gt;0,E23&gt;0,E31&lt;0,ABS(E31)&gt;ABS(E15+E23)),(E15+E23+E31),IF(AND(E35=1,E36=1,E7&gt;0,E15&gt;0,E23&gt;0,E31&lt;0,ABS(E31)&lt;ABS(E15+E23)),0,IF(AND(E35=0,E36=0,E7&gt;0,E15&gt;0,E23&lt;0,E31&lt;0,ABS(E15)&gt;ABS(E23)),E31,IF(AND(E35=1,E36=0,E7&gt;0,E15&gt;0,E23&lt;0,E31&lt;0,ABS(E15)&gt;ABS(E23),ABS(E15+E23)&gt;ABS(E31)),0,IF(AND(E35=1,E36=0,E7&gt;0,E15&gt;0,E23&lt;0,E31&lt;0,ABS(E15)&gt;ABS(E23),ABS(E15+E23)&lt;ABS(E31)),(E15+E23+E31),IF(AND(E7&gt;0,E15&gt;0,E23&lt;0,E31&lt;0,ABS(E23)&gt;ABS(E15)),(E15+E23+E31),IF(AND(E7&gt;0,E15&lt;0,ABS(E15)&gt;ABS(E7),E23&lt;0,E31&lt;0),(E23+E31),IF(AND(E7&gt;0,E15&lt;0,ABS(E15)&gt;ABS(E7),E23&lt;0,E31&gt;0),E23,IF(AND(E7&gt;0,E15&lt;0,ABS(E15)&gt;ABS(E7),E23&gt;0,E31&lt;0,ABS(E23)&gt;ABS(E7+E15),ABS(E31)&lt;ABS(E7+E15+E23)),0,IF(AND(E7&gt;0,E15&lt;0,ABS(E15)&gt;ABS(E7),E23&gt;0,E31&lt;0,ABS(E23)&gt;ABS(E7+E15),ABS(E31)&gt;ABS(E7+E15+E23)),(E31+(E7+E15+E23)),IF(AND(E7&gt;0,E15&lt;0,ABS(E15)&gt;ABS(E7),E23&gt;0,E31&lt;0,ABS(E7+E15)&gt;ABS(E23)),E31,IF(AND(E7&gt;0,E15&lt;0,ABS(E15)&gt;ABS(E7),E23&gt;0,E31&gt;0),0,IF(AND(E7&gt;0,E15&lt;0,ABS(E7)&gt;ABS(E15),E23&lt;0,E31&gt;0),E23,IF(AND(E7&gt;0,E15&lt;0,ABS(E7)&gt;ABS(E15),E23&gt;0,E31&gt;0),0,IF(AND(E7&gt;0,E15&lt;0,ABS(E7)&gt;ABS(E15),E23&lt;0,E31&lt;0),(E23+E31),IF(AND(E7&gt;0,E15&lt;0,ABS(E7)&gt;ABS(E15),E23&gt;0,E31&lt;0,ABS(E23)&gt;ABS(E31)),0,IF(AND(E7&gt;0,E15&lt;0,ABS(E7)&gt;ABS(E15),E23&gt;0,E31&lt;0,ABS(E23)&lt;ABS(E31)),(E23+E31),IF(AND(E7&lt;0,E15&gt;0,ABS(E7)&gt;ABS(E15),E23&lt;0,E31&gt;0),E23,IF(AND(E7&lt;0,E15&gt;0,ABS(E7)&gt;ABS(E15),E23&gt;0,E31&gt;0),0,IF(AND(E7&lt;0,E15&gt;0,ABS(E7)&gt;ABS(E15),E23&lt;0,E31&lt;0),(E23+E31),IF(AND(E7&lt;0,E15&gt;0,ABS(E7)&gt;ABS(E15),E23&gt;0,E31&lt;0,ABS(E23)&gt;ABS(E31)),0,IF(AND(E7&lt;0,E15&gt;0,ABS(E7)&gt;ABS(E15),E23&gt;0,E31&lt;0,ABS(E23)&lt;ABS(E31)),(E23+E31),FALSE)))))))))))))))))))))))))))))))))))))))))))))</f>
        <v>-1906762.0675069802</v>
      </c>
      <c r="F37" s="14" t="s">
        <v>3</v>
      </c>
      <c r="G37" s="1"/>
    </row>
    <row r="38" spans="1:7" x14ac:dyDescent="0.45">
      <c r="A38" s="1"/>
      <c r="B38" s="109" t="s">
        <v>130</v>
      </c>
      <c r="C38" s="110"/>
      <c r="D38" s="111"/>
      <c r="E38" s="9">
        <v>2</v>
      </c>
      <c r="F38" s="14" t="s">
        <v>19</v>
      </c>
      <c r="G38" s="1"/>
    </row>
    <row r="39" spans="1:7" ht="15" customHeight="1" x14ac:dyDescent="0.45">
      <c r="A39" s="1"/>
      <c r="B39" s="112" t="s">
        <v>203</v>
      </c>
      <c r="C39" s="112"/>
      <c r="D39" s="112"/>
      <c r="E39" s="10">
        <f>E37/E38</f>
        <v>-953381.03375349008</v>
      </c>
      <c r="F39" s="17" t="s">
        <v>3</v>
      </c>
      <c r="G39" s="1"/>
    </row>
    <row r="40" spans="1:7" x14ac:dyDescent="0.45">
      <c r="A40" s="1"/>
      <c r="B40" s="95"/>
      <c r="C40" s="96"/>
      <c r="D40" s="96"/>
      <c r="E40" s="96"/>
      <c r="F40" s="97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4" spans="1:7" x14ac:dyDescent="0.45">
      <c r="A44" s="37"/>
      <c r="B44" s="37"/>
      <c r="C44" s="37"/>
      <c r="D44" s="37"/>
      <c r="E44" s="37"/>
      <c r="F44" s="37"/>
      <c r="G44" s="37"/>
    </row>
    <row r="45" spans="1:7" x14ac:dyDescent="0.45">
      <c r="A45" s="37"/>
      <c r="B45" s="37"/>
      <c r="C45" s="37"/>
      <c r="D45" s="37"/>
      <c r="E45" s="37"/>
      <c r="F45" s="37"/>
      <c r="G45" s="37"/>
    </row>
    <row r="46" spans="1:7" x14ac:dyDescent="0.45">
      <c r="A46" s="37"/>
      <c r="B46" s="37"/>
      <c r="C46" s="37"/>
      <c r="D46" s="37"/>
      <c r="E46" s="37"/>
      <c r="F46" s="37"/>
      <c r="G46" s="37"/>
    </row>
    <row r="47" spans="1:7" x14ac:dyDescent="0.45">
      <c r="A47" s="37"/>
      <c r="B47" s="37"/>
      <c r="C47" s="37"/>
      <c r="D47" s="37"/>
      <c r="E47" s="37"/>
      <c r="F47" s="37"/>
      <c r="G47" s="37"/>
    </row>
  </sheetData>
  <sheetProtection algorithmName="SHA-512" hashValue="ombyK3r0GWEa3nZszDOPBTA2VFst41zQh8JMib5k4BFO9kQrThjHocItkXXqK/bvW5XlXBUyyBP5fUcEXUVR/w==" saltValue="cXxp+sffG2qfOECCl0F2Rg==" spinCount="100000" sheet="1" objects="1" scenarios="1"/>
  <mergeCells count="30">
    <mergeCell ref="B2:F3"/>
    <mergeCell ref="B19:F19"/>
    <mergeCell ref="B20:D20"/>
    <mergeCell ref="B21:D21"/>
    <mergeCell ref="B22:D22"/>
    <mergeCell ref="B14:D14"/>
    <mergeCell ref="B15:D15"/>
    <mergeCell ref="B4:F4"/>
    <mergeCell ref="B5:D5"/>
    <mergeCell ref="B6:D6"/>
    <mergeCell ref="B7:D7"/>
    <mergeCell ref="B11:F11"/>
    <mergeCell ref="B12:D12"/>
    <mergeCell ref="B13:D13"/>
    <mergeCell ref="B9:F9"/>
    <mergeCell ref="B17:F17"/>
    <mergeCell ref="B40:F40"/>
    <mergeCell ref="B23:D23"/>
    <mergeCell ref="B34:F34"/>
    <mergeCell ref="B37:D37"/>
    <mergeCell ref="B38:D38"/>
    <mergeCell ref="B39:D39"/>
    <mergeCell ref="B27:F27"/>
    <mergeCell ref="B28:D28"/>
    <mergeCell ref="B29:D29"/>
    <mergeCell ref="B30:D30"/>
    <mergeCell ref="B31:D31"/>
    <mergeCell ref="B25:F25"/>
    <mergeCell ref="B35:D35"/>
    <mergeCell ref="B36:D36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69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216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197</v>
      </c>
      <c r="C8" s="96"/>
      <c r="D8" s="96"/>
      <c r="E8" s="96"/>
      <c r="F8" s="96"/>
      <c r="G8" s="96"/>
      <c r="H8" s="97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2"/>
      <c r="I9" s="1"/>
    </row>
    <row r="10" spans="1:9" ht="39.75" x14ac:dyDescent="0.45">
      <c r="A10" s="1"/>
      <c r="B10" s="51" t="s">
        <v>243</v>
      </c>
      <c r="C10" s="52" t="s">
        <v>244</v>
      </c>
      <c r="D10" s="9">
        <v>18170273</v>
      </c>
      <c r="E10" s="9">
        <f>IFERROR(D10/C10,0)</f>
        <v>1817027.3</v>
      </c>
      <c r="F10" s="9">
        <v>0</v>
      </c>
      <c r="G10" s="9">
        <v>388921</v>
      </c>
      <c r="H10" s="14" t="s">
        <v>3</v>
      </c>
      <c r="I10" s="1"/>
    </row>
    <row r="11" spans="1:9" ht="26.65" x14ac:dyDescent="0.45">
      <c r="A11" s="1"/>
      <c r="B11" s="51" t="s">
        <v>245</v>
      </c>
      <c r="C11" s="52" t="s">
        <v>246</v>
      </c>
      <c r="D11" s="9">
        <v>11195983</v>
      </c>
      <c r="E11" s="9">
        <f t="shared" ref="E11:E31" si="0">IFERROR(D11/C11,0)</f>
        <v>149279.77333333335</v>
      </c>
      <c r="F11" s="9">
        <v>46900</v>
      </c>
      <c r="G11" s="9">
        <v>126920</v>
      </c>
      <c r="H11" s="14" t="s">
        <v>3</v>
      </c>
      <c r="I11" s="1"/>
    </row>
    <row r="12" spans="1:9" ht="26.65" x14ac:dyDescent="0.45">
      <c r="A12" s="1"/>
      <c r="B12" s="51" t="s">
        <v>247</v>
      </c>
      <c r="C12" s="52" t="s">
        <v>246</v>
      </c>
      <c r="D12" s="9">
        <v>535703</v>
      </c>
      <c r="E12" s="9">
        <f t="shared" si="0"/>
        <v>7142.7066666666669</v>
      </c>
      <c r="F12" s="9">
        <v>0</v>
      </c>
      <c r="G12" s="9">
        <v>0</v>
      </c>
      <c r="H12" s="14" t="s">
        <v>3</v>
      </c>
      <c r="I12" s="1"/>
    </row>
    <row r="13" spans="1:9" ht="26.65" x14ac:dyDescent="0.45">
      <c r="A13" s="1"/>
      <c r="B13" s="51" t="s">
        <v>248</v>
      </c>
      <c r="C13" s="52" t="s">
        <v>246</v>
      </c>
      <c r="D13" s="9">
        <v>4078996</v>
      </c>
      <c r="E13" s="9">
        <f t="shared" si="0"/>
        <v>54386.613333333335</v>
      </c>
      <c r="F13" s="9">
        <v>0</v>
      </c>
      <c r="G13" s="9">
        <v>0</v>
      </c>
      <c r="H13" s="14" t="s">
        <v>3</v>
      </c>
      <c r="I13" s="1"/>
    </row>
    <row r="14" spans="1:9" ht="26.65" x14ac:dyDescent="0.45">
      <c r="A14" s="1"/>
      <c r="B14" s="51" t="s">
        <v>247</v>
      </c>
      <c r="C14" s="52" t="s">
        <v>246</v>
      </c>
      <c r="D14" s="9">
        <v>176971</v>
      </c>
      <c r="E14" s="9">
        <f t="shared" si="0"/>
        <v>2359.6133333333332</v>
      </c>
      <c r="F14" s="9">
        <v>0</v>
      </c>
      <c r="G14" s="9">
        <v>0</v>
      </c>
      <c r="H14" s="14" t="s">
        <v>3</v>
      </c>
      <c r="I14" s="1"/>
    </row>
    <row r="15" spans="1:9" ht="26.65" x14ac:dyDescent="0.45">
      <c r="A15" s="1"/>
      <c r="B15" s="51" t="s">
        <v>249</v>
      </c>
      <c r="C15" s="52" t="s">
        <v>250</v>
      </c>
      <c r="D15" s="9">
        <v>32270</v>
      </c>
      <c r="E15" s="9">
        <f t="shared" si="0"/>
        <v>2151.3333333333335</v>
      </c>
      <c r="F15" s="9">
        <v>0</v>
      </c>
      <c r="G15" s="9">
        <v>0</v>
      </c>
      <c r="H15" s="14" t="s">
        <v>3</v>
      </c>
      <c r="I15" s="1"/>
    </row>
    <row r="16" spans="1:9" ht="26.65" x14ac:dyDescent="0.45">
      <c r="A16" s="1"/>
      <c r="B16" s="51" t="s">
        <v>251</v>
      </c>
      <c r="C16" s="52" t="s">
        <v>252</v>
      </c>
      <c r="D16" s="9">
        <v>260042</v>
      </c>
      <c r="E16" s="9">
        <f t="shared" si="0"/>
        <v>10401.68</v>
      </c>
      <c r="F16" s="9">
        <v>0</v>
      </c>
      <c r="G16" s="9">
        <v>0</v>
      </c>
      <c r="H16" s="14" t="s">
        <v>3</v>
      </c>
      <c r="I16" s="1"/>
    </row>
    <row r="17" spans="1:9" ht="26.65" x14ac:dyDescent="0.45">
      <c r="A17" s="1"/>
      <c r="B17" s="51" t="s">
        <v>253</v>
      </c>
      <c r="C17" s="52" t="s">
        <v>254</v>
      </c>
      <c r="D17" s="9">
        <v>5953002</v>
      </c>
      <c r="E17" s="9">
        <f t="shared" si="0"/>
        <v>119060.04</v>
      </c>
      <c r="F17" s="9">
        <v>0</v>
      </c>
      <c r="G17" s="9">
        <v>0</v>
      </c>
      <c r="H17" s="14" t="s">
        <v>3</v>
      </c>
      <c r="I17" s="1"/>
    </row>
    <row r="18" spans="1:9" x14ac:dyDescent="0.45">
      <c r="A18" s="1"/>
      <c r="B18" s="51" t="s">
        <v>255</v>
      </c>
      <c r="C18" s="52" t="s">
        <v>252</v>
      </c>
      <c r="D18" s="9">
        <v>1831002</v>
      </c>
      <c r="E18" s="9">
        <f t="shared" si="0"/>
        <v>73240.08</v>
      </c>
      <c r="F18" s="9">
        <v>0</v>
      </c>
      <c r="G18" s="9">
        <v>0</v>
      </c>
      <c r="H18" s="14" t="s">
        <v>3</v>
      </c>
      <c r="I18" s="1"/>
    </row>
    <row r="19" spans="1:9" x14ac:dyDescent="0.45">
      <c r="A19" s="1"/>
      <c r="B19" s="51" t="s">
        <v>256</v>
      </c>
      <c r="C19" s="52" t="s">
        <v>244</v>
      </c>
      <c r="D19" s="9">
        <v>767635</v>
      </c>
      <c r="E19" s="9">
        <f t="shared" si="0"/>
        <v>76763.5</v>
      </c>
      <c r="F19" s="9">
        <v>0</v>
      </c>
      <c r="G19" s="9">
        <v>0</v>
      </c>
      <c r="H19" s="14" t="s">
        <v>3</v>
      </c>
      <c r="I19" s="1"/>
    </row>
    <row r="20" spans="1:9" ht="26.65" x14ac:dyDescent="0.45">
      <c r="A20" s="1"/>
      <c r="B20" s="51" t="s">
        <v>249</v>
      </c>
      <c r="C20" s="52" t="s">
        <v>250</v>
      </c>
      <c r="D20" s="9">
        <v>582806</v>
      </c>
      <c r="E20" s="9">
        <f t="shared" si="0"/>
        <v>38853.73333333333</v>
      </c>
      <c r="F20" s="9">
        <v>0</v>
      </c>
      <c r="G20" s="9">
        <v>0</v>
      </c>
      <c r="H20" s="14" t="s">
        <v>3</v>
      </c>
      <c r="I20" s="1"/>
    </row>
    <row r="21" spans="1:9" ht="26.65" x14ac:dyDescent="0.45">
      <c r="A21" s="1"/>
      <c r="B21" s="51" t="s">
        <v>257</v>
      </c>
      <c r="C21" s="52" t="s">
        <v>252</v>
      </c>
      <c r="D21" s="9">
        <v>239174</v>
      </c>
      <c r="E21" s="9">
        <f t="shared" si="0"/>
        <v>9566.9599999999991</v>
      </c>
      <c r="F21" s="9">
        <v>0</v>
      </c>
      <c r="G21" s="9">
        <v>0</v>
      </c>
      <c r="H21" s="14" t="s">
        <v>3</v>
      </c>
      <c r="I21" s="1"/>
    </row>
    <row r="22" spans="1:9" ht="39.75" x14ac:dyDescent="0.45">
      <c r="A22" s="1"/>
      <c r="B22" s="51" t="s">
        <v>258</v>
      </c>
      <c r="C22" s="52" t="s">
        <v>254</v>
      </c>
      <c r="D22" s="9">
        <v>1833101</v>
      </c>
      <c r="E22" s="9">
        <f t="shared" si="0"/>
        <v>36662.019999999997</v>
      </c>
      <c r="F22" s="9">
        <v>0</v>
      </c>
      <c r="G22" s="9">
        <v>0</v>
      </c>
      <c r="H22" s="14" t="s">
        <v>3</v>
      </c>
      <c r="I22" s="1"/>
    </row>
    <row r="23" spans="1:9" ht="26.65" x14ac:dyDescent="0.45">
      <c r="A23" s="1"/>
      <c r="B23" s="51" t="s">
        <v>251</v>
      </c>
      <c r="C23" s="52" t="s">
        <v>252</v>
      </c>
      <c r="D23" s="9">
        <v>4569939</v>
      </c>
      <c r="E23" s="9">
        <f t="shared" si="0"/>
        <v>182797.56</v>
      </c>
      <c r="F23" s="9">
        <v>0</v>
      </c>
      <c r="G23" s="9">
        <v>0</v>
      </c>
      <c r="H23" s="14" t="s">
        <v>3</v>
      </c>
      <c r="I23" s="1"/>
    </row>
    <row r="24" spans="1:9" ht="26.65" x14ac:dyDescent="0.45">
      <c r="A24" s="1"/>
      <c r="B24" s="51" t="s">
        <v>253</v>
      </c>
      <c r="C24" s="52" t="s">
        <v>254</v>
      </c>
      <c r="D24" s="9">
        <v>2422694</v>
      </c>
      <c r="E24" s="9">
        <f t="shared" si="0"/>
        <v>48453.88</v>
      </c>
      <c r="F24" s="9">
        <v>0</v>
      </c>
      <c r="G24" s="9">
        <v>0</v>
      </c>
      <c r="H24" s="14" t="s">
        <v>3</v>
      </c>
      <c r="I24" s="1"/>
    </row>
    <row r="25" spans="1:9" ht="39.75" x14ac:dyDescent="0.45">
      <c r="A25" s="1"/>
      <c r="B25" s="51" t="s">
        <v>259</v>
      </c>
      <c r="C25" s="52" t="s">
        <v>252</v>
      </c>
      <c r="D25" s="9">
        <v>1345041</v>
      </c>
      <c r="E25" s="9">
        <f t="shared" si="0"/>
        <v>53801.64</v>
      </c>
      <c r="F25" s="9">
        <v>0</v>
      </c>
      <c r="G25" s="9">
        <v>0</v>
      </c>
      <c r="H25" s="14" t="s">
        <v>3</v>
      </c>
      <c r="I25" s="1"/>
    </row>
    <row r="26" spans="1:9" ht="26.65" x14ac:dyDescent="0.45">
      <c r="A26" s="1"/>
      <c r="B26" s="51" t="s">
        <v>260</v>
      </c>
      <c r="C26" s="52" t="s">
        <v>252</v>
      </c>
      <c r="D26" s="9">
        <v>774682</v>
      </c>
      <c r="E26" s="9">
        <f t="shared" si="0"/>
        <v>30987.279999999999</v>
      </c>
      <c r="F26" s="9">
        <v>0</v>
      </c>
      <c r="G26" s="9">
        <v>0</v>
      </c>
      <c r="H26" s="14" t="s">
        <v>3</v>
      </c>
      <c r="I26" s="1"/>
    </row>
    <row r="27" spans="1:9" x14ac:dyDescent="0.45">
      <c r="A27" s="1"/>
      <c r="B27" s="51" t="s">
        <v>255</v>
      </c>
      <c r="C27" s="52" t="s">
        <v>252</v>
      </c>
      <c r="D27" s="9">
        <v>4275502</v>
      </c>
      <c r="E27" s="9">
        <f t="shared" si="0"/>
        <v>171020.08</v>
      </c>
      <c r="F27" s="9">
        <v>0</v>
      </c>
      <c r="G27" s="9">
        <v>0</v>
      </c>
      <c r="H27" s="14" t="s">
        <v>3</v>
      </c>
      <c r="I27" s="1"/>
    </row>
    <row r="28" spans="1:9" x14ac:dyDescent="0.45">
      <c r="A28" s="1"/>
      <c r="B28" s="51" t="s">
        <v>261</v>
      </c>
      <c r="C28" s="52" t="s">
        <v>244</v>
      </c>
      <c r="D28" s="9">
        <v>2572934</v>
      </c>
      <c r="E28" s="9">
        <f t="shared" si="0"/>
        <v>257293.4</v>
      </c>
      <c r="F28" s="9">
        <v>0</v>
      </c>
      <c r="G28" s="9">
        <v>0</v>
      </c>
      <c r="H28" s="14" t="s">
        <v>3</v>
      </c>
      <c r="I28" s="1"/>
    </row>
    <row r="29" spans="1:9" ht="26.65" x14ac:dyDescent="0.45">
      <c r="A29" s="1"/>
      <c r="B29" s="51" t="s">
        <v>262</v>
      </c>
      <c r="C29" s="52" t="s">
        <v>246</v>
      </c>
      <c r="D29" s="9">
        <v>339043</v>
      </c>
      <c r="E29" s="9">
        <f t="shared" si="0"/>
        <v>4520.5733333333337</v>
      </c>
      <c r="F29" s="9">
        <v>0</v>
      </c>
      <c r="G29" s="9">
        <v>0</v>
      </c>
      <c r="H29" s="14" t="s">
        <v>3</v>
      </c>
      <c r="I29" s="1"/>
    </row>
    <row r="30" spans="1:9" ht="26.65" x14ac:dyDescent="0.45">
      <c r="A30" s="1"/>
      <c r="B30" s="51" t="s">
        <v>263</v>
      </c>
      <c r="C30" s="52" t="s">
        <v>252</v>
      </c>
      <c r="D30" s="9">
        <v>49340</v>
      </c>
      <c r="E30" s="9">
        <f t="shared" si="0"/>
        <v>1973.6</v>
      </c>
      <c r="F30" s="9">
        <v>0</v>
      </c>
      <c r="G30" s="9">
        <v>0</v>
      </c>
      <c r="H30" s="14" t="s">
        <v>3</v>
      </c>
      <c r="I30" s="1"/>
    </row>
    <row r="31" spans="1:9" ht="39.75" x14ac:dyDescent="0.45">
      <c r="A31" s="1"/>
      <c r="B31" s="51" t="s">
        <v>264</v>
      </c>
      <c r="C31" s="52" t="s">
        <v>252</v>
      </c>
      <c r="D31" s="9">
        <v>176321</v>
      </c>
      <c r="E31" s="9">
        <f t="shared" si="0"/>
        <v>7052.84</v>
      </c>
      <c r="F31" s="9">
        <v>0</v>
      </c>
      <c r="G31" s="9">
        <v>0</v>
      </c>
      <c r="H31" s="14" t="s">
        <v>3</v>
      </c>
      <c r="I31" s="1"/>
    </row>
    <row r="32" spans="1:9" x14ac:dyDescent="0.45">
      <c r="A32" s="1"/>
      <c r="B32" s="51" t="s">
        <v>265</v>
      </c>
      <c r="C32" s="52" t="s">
        <v>252</v>
      </c>
      <c r="D32" s="9">
        <v>2210609</v>
      </c>
      <c r="E32" s="9">
        <f t="shared" ref="E32:E33" si="1">IFERROR(D32/C32,0)</f>
        <v>88424.36</v>
      </c>
      <c r="F32" s="9">
        <v>0</v>
      </c>
      <c r="G32" s="9">
        <v>0</v>
      </c>
      <c r="H32" s="14" t="s">
        <v>3</v>
      </c>
      <c r="I32" s="1"/>
    </row>
    <row r="33" spans="1:9" x14ac:dyDescent="0.45">
      <c r="A33" s="1"/>
      <c r="B33" s="51" t="s">
        <v>266</v>
      </c>
      <c r="C33" s="52" t="s">
        <v>254</v>
      </c>
      <c r="D33" s="9">
        <v>2482379</v>
      </c>
      <c r="E33" s="9">
        <f t="shared" si="1"/>
        <v>49647.58</v>
      </c>
      <c r="F33" s="9">
        <v>0</v>
      </c>
      <c r="G33" s="9">
        <v>0</v>
      </c>
      <c r="H33" s="14" t="s">
        <v>3</v>
      </c>
      <c r="I33" s="1"/>
    </row>
    <row r="34" spans="1:9" x14ac:dyDescent="0.45">
      <c r="A34" s="1"/>
      <c r="B34" s="95" t="s">
        <v>198</v>
      </c>
      <c r="C34" s="96"/>
      <c r="D34" s="97"/>
      <c r="E34" s="12">
        <f>SUM(E10:E33)</f>
        <v>3292868.1466666665</v>
      </c>
      <c r="F34" s="12">
        <f t="shared" ref="F34:G34" si="2">SUM(F10:F33)</f>
        <v>46900</v>
      </c>
      <c r="G34" s="12">
        <f t="shared" si="2"/>
        <v>515841</v>
      </c>
      <c r="H34" s="13" t="s">
        <v>3</v>
      </c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4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4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4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4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4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4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4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4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4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4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4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4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4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4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4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45">
      <c r="A69" s="1"/>
      <c r="B69" s="1"/>
      <c r="C69" s="1"/>
      <c r="D69" s="1"/>
      <c r="E69" s="1"/>
      <c r="F69" s="1"/>
      <c r="G69" s="1"/>
      <c r="H69" s="1"/>
      <c r="I69" s="1"/>
    </row>
  </sheetData>
  <sheetProtection algorithmName="SHA-512" hashValue="9+HgdDxfq9hTeM94HLM2okDQ8H7v2EPAIfR9M4SAc3pF3W9SCTtn8u8Qq7ELIvpgb+xwwcoeqR0K6q1z0ki3UA==" saltValue="lmo+YNnu3wkxKT2mOIioBw==" spinCount="100000" sheet="1" objects="1" scenarios="1"/>
  <mergeCells count="3">
    <mergeCell ref="B3:H4"/>
    <mergeCell ref="B34:D34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2" t="s">
        <v>215</v>
      </c>
      <c r="C3" s="72"/>
      <c r="D3" s="72"/>
      <c r="E3" s="72"/>
      <c r="F3" s="72"/>
      <c r="G3" s="1"/>
    </row>
    <row r="4" spans="1:7" ht="15" customHeight="1" x14ac:dyDescent="0.45">
      <c r="A4" s="1"/>
      <c r="B4" s="72"/>
      <c r="C4" s="72"/>
      <c r="D4" s="72"/>
      <c r="E4" s="72"/>
      <c r="F4" s="7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5" t="s">
        <v>94</v>
      </c>
      <c r="C8" s="46"/>
      <c r="D8" s="46"/>
      <c r="E8" s="46"/>
      <c r="F8" s="20"/>
      <c r="G8" s="1"/>
    </row>
    <row r="9" spans="1:7" ht="17.25" customHeight="1" x14ac:dyDescent="0.45">
      <c r="A9" s="1"/>
      <c r="B9" s="43" t="s">
        <v>16</v>
      </c>
      <c r="C9" s="43" t="s">
        <v>11</v>
      </c>
      <c r="D9" s="44"/>
      <c r="E9" s="43" t="s">
        <v>34</v>
      </c>
      <c r="F9" s="42"/>
      <c r="G9" s="1"/>
    </row>
    <row r="10" spans="1:7" x14ac:dyDescent="0.45">
      <c r="A10" s="1"/>
      <c r="B10" s="25" t="s">
        <v>44</v>
      </c>
      <c r="C10" s="22">
        <f>'Fane 8. Anlægsprojekter'!F34</f>
        <v>46900</v>
      </c>
      <c r="D10" s="14" t="s">
        <v>3</v>
      </c>
      <c r="E10" s="9">
        <f>SUM('Fane 8. Anlægsprojekter'!E34,'Fane 8. Anlægsprojekter'!G34)</f>
        <v>3808709.1466666665</v>
      </c>
      <c r="F10" s="14" t="s">
        <v>3</v>
      </c>
      <c r="G10" s="1"/>
    </row>
    <row r="11" spans="1:7" x14ac:dyDescent="0.45">
      <c r="A11" s="1"/>
      <c r="B11" s="53" t="s">
        <v>240</v>
      </c>
      <c r="C11" s="22">
        <v>29982</v>
      </c>
      <c r="D11" s="14" t="s">
        <v>3</v>
      </c>
      <c r="E11" s="9">
        <v>35368</v>
      </c>
      <c r="F11" s="14" t="s">
        <v>3</v>
      </c>
      <c r="G11" s="1"/>
    </row>
    <row r="12" spans="1:7" x14ac:dyDescent="0.45">
      <c r="A12" s="1"/>
      <c r="B12" s="45" t="s">
        <v>48</v>
      </c>
      <c r="C12" s="12">
        <f>SUM(C10:C11)</f>
        <v>76882</v>
      </c>
      <c r="D12" s="13" t="s">
        <v>3</v>
      </c>
      <c r="E12" s="12">
        <f>SUM(E10:E11)</f>
        <v>3844077.1466666665</v>
      </c>
      <c r="F12" s="13" t="s">
        <v>3</v>
      </c>
      <c r="G12" s="1"/>
    </row>
    <row r="13" spans="1:7" x14ac:dyDescent="0.45">
      <c r="A13" s="1"/>
      <c r="B13" s="45" t="s">
        <v>173</v>
      </c>
      <c r="C13" s="12">
        <f>C12*(1+'Fane 12. Nøgletal'!C13)</f>
        <v>77819.960399999996</v>
      </c>
      <c r="D13" s="13" t="s">
        <v>3</v>
      </c>
      <c r="E13" s="12">
        <f>E12*(1+'Fane 12. Nøgletal'!C13)</f>
        <v>3890974.8878559996</v>
      </c>
      <c r="F13" s="13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dpWK70ao7tP78iIq51vgoA1paw8eyl9ERmuB1ghcinKcirhAp+ZVuwJbddptjBsHn6LhaIHdetJArfKKDh35cg==" saltValue="9QtFXFwcxF0zhcBolKxmY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2" t="s">
        <v>214</v>
      </c>
      <c r="C3" s="72"/>
      <c r="D3" s="72"/>
      <c r="E3" s="72"/>
      <c r="F3" s="72"/>
      <c r="G3" s="1"/>
    </row>
    <row r="4" spans="1:7" ht="15" customHeight="1" x14ac:dyDescent="0.45">
      <c r="A4" s="1"/>
      <c r="B4" s="72"/>
      <c r="C4" s="72"/>
      <c r="D4" s="72"/>
      <c r="E4" s="72"/>
      <c r="F4" s="7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119</v>
      </c>
      <c r="C8" s="96"/>
      <c r="D8" s="96"/>
      <c r="E8" s="96"/>
      <c r="F8" s="97"/>
      <c r="G8" s="1"/>
    </row>
    <row r="9" spans="1:7" x14ac:dyDescent="0.45">
      <c r="A9" s="1"/>
      <c r="B9" s="43" t="s">
        <v>16</v>
      </c>
      <c r="C9" s="43" t="s">
        <v>11</v>
      </c>
      <c r="D9" s="44"/>
      <c r="E9" s="43" t="s">
        <v>34</v>
      </c>
      <c r="F9" s="42"/>
      <c r="G9" s="1"/>
    </row>
    <row r="10" spans="1:7" x14ac:dyDescent="0.45">
      <c r="A10" s="1"/>
      <c r="B10" s="25" t="s">
        <v>241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5" t="s">
        <v>174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45">
      <c r="A13" s="1"/>
      <c r="B13" s="27" t="s">
        <v>123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45">
      <c r="A14" s="1"/>
      <c r="B14" s="45" t="s">
        <v>122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5" t="s">
        <v>120</v>
      </c>
      <c r="C16" s="96"/>
      <c r="D16" s="96"/>
      <c r="E16" s="96"/>
      <c r="F16" s="97"/>
      <c r="G16" s="1"/>
    </row>
    <row r="17" spans="1:7" x14ac:dyDescent="0.45">
      <c r="A17" s="1"/>
      <c r="B17" s="43" t="s">
        <v>16</v>
      </c>
      <c r="C17" s="43" t="s">
        <v>11</v>
      </c>
      <c r="D17" s="44"/>
      <c r="E17" s="43" t="s">
        <v>34</v>
      </c>
      <c r="F17" s="42"/>
      <c r="G17" s="1"/>
    </row>
    <row r="18" spans="1:7" x14ac:dyDescent="0.45">
      <c r="A18" s="1"/>
      <c r="B18" s="25" t="s">
        <v>241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45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4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45">
      <c r="A22" s="1"/>
      <c r="B22" s="45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5" t="s">
        <v>121</v>
      </c>
      <c r="C24" s="96"/>
      <c r="D24" s="96"/>
      <c r="E24" s="96"/>
      <c r="F24" s="97"/>
      <c r="G24" s="1"/>
    </row>
    <row r="25" spans="1:7" x14ac:dyDescent="0.45">
      <c r="A25" s="1"/>
      <c r="B25" s="43" t="s">
        <v>16</v>
      </c>
      <c r="C25" s="43" t="s">
        <v>11</v>
      </c>
      <c r="D25" s="44"/>
      <c r="E25" s="43" t="s">
        <v>34</v>
      </c>
      <c r="F25" s="42"/>
      <c r="G25" s="1"/>
    </row>
    <row r="26" spans="1:7" x14ac:dyDescent="0.45">
      <c r="A26" s="1"/>
      <c r="B26" s="25" t="s">
        <v>241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45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4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45">
      <c r="A30" s="1"/>
      <c r="B30" s="45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5" t="s">
        <v>176</v>
      </c>
      <c r="C32" s="96"/>
      <c r="D32" s="96"/>
      <c r="E32" s="96"/>
      <c r="F32" s="97"/>
      <c r="G32" s="1"/>
    </row>
    <row r="33" spans="1:7" x14ac:dyDescent="0.45">
      <c r="A33" s="1"/>
      <c r="B33" s="43" t="s">
        <v>16</v>
      </c>
      <c r="C33" s="43" t="s">
        <v>11</v>
      </c>
      <c r="D33" s="44"/>
      <c r="E33" s="43" t="s">
        <v>34</v>
      </c>
      <c r="F33" s="42"/>
      <c r="G33" s="1"/>
    </row>
    <row r="34" spans="1:7" x14ac:dyDescent="0.45">
      <c r="A34" s="1"/>
      <c r="B34" s="25" t="s">
        <v>241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45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4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45">
      <c r="A38" s="1"/>
      <c r="B38" s="45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TU2Vm20Bv9fxYIUgMHzb5eDwdH566yDXlSYSWE6+TVEsAYwaVsEi0+0qkvf+zcYrElQSd4TAmSi/jR0QkQnm1A==" saltValue="Z9jVsRr9Ffv7/MTDwZk+c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86328125" style="2" customWidth="1"/>
    <col min="4" max="4" width="3.265625" style="2" customWidth="1"/>
    <col min="5" max="5" width="14.597656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2" t="s">
        <v>213</v>
      </c>
      <c r="C3" s="82"/>
      <c r="D3" s="82"/>
      <c r="E3" s="82"/>
      <c r="F3" s="82"/>
      <c r="G3" s="1"/>
    </row>
    <row r="4" spans="1:7" ht="25.5" customHeight="1" x14ac:dyDescent="0.45">
      <c r="A4" s="1"/>
      <c r="B4" s="82"/>
      <c r="C4" s="82"/>
      <c r="D4" s="82"/>
      <c r="E4" s="82"/>
      <c r="F4" s="8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45">
      <c r="A9" s="1"/>
      <c r="B9" s="41" t="s">
        <v>157</v>
      </c>
      <c r="C9" s="92" t="s">
        <v>11</v>
      </c>
      <c r="D9" s="94"/>
      <c r="E9" s="92" t="s">
        <v>34</v>
      </c>
      <c r="F9" s="94"/>
      <c r="G9" s="1"/>
    </row>
    <row r="10" spans="1:7" x14ac:dyDescent="0.45">
      <c r="A10" s="1"/>
      <c r="B10" s="25" t="s">
        <v>238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+TSy88rWmjmSlkf0OQ/VY2QfjZDMgNf9kNvxYmEScRsHVxS0Rq6ipbDUU9COeEx90Bu7Or4hlUVYYknSwZ3JEQ==" saltValue="QH7QAypP4iuSP3KNR9Wjj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2" t="s">
        <v>212</v>
      </c>
      <c r="C3" s="82"/>
      <c r="D3" s="82"/>
      <c r="E3" s="82"/>
      <c r="F3" s="82"/>
      <c r="G3" s="1"/>
    </row>
    <row r="4" spans="1:7" ht="25.5" customHeight="1" x14ac:dyDescent="0.45">
      <c r="A4" s="1"/>
      <c r="B4" s="82"/>
      <c r="C4" s="82"/>
      <c r="D4" s="82"/>
      <c r="E4" s="82"/>
      <c r="F4" s="8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111</v>
      </c>
      <c r="C8" s="96"/>
      <c r="D8" s="96"/>
      <c r="E8" s="96"/>
      <c r="F8" s="97"/>
      <c r="G8" s="1"/>
    </row>
    <row r="9" spans="1:7" ht="15" customHeight="1" x14ac:dyDescent="0.45">
      <c r="A9" s="1"/>
      <c r="B9" s="41" t="s">
        <v>17</v>
      </c>
      <c r="C9" s="41" t="s">
        <v>11</v>
      </c>
      <c r="D9" s="42"/>
      <c r="E9" s="41" t="s">
        <v>34</v>
      </c>
      <c r="F9" s="42"/>
      <c r="G9" s="1"/>
    </row>
    <row r="10" spans="1:7" x14ac:dyDescent="0.45">
      <c r="A10" s="1"/>
      <c r="B10" s="25" t="s">
        <v>239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5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45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95" t="s">
        <v>110</v>
      </c>
      <c r="C15" s="96"/>
      <c r="D15" s="96"/>
      <c r="E15" s="96"/>
      <c r="F15" s="97"/>
      <c r="G15" s="1"/>
    </row>
    <row r="16" spans="1:7" x14ac:dyDescent="0.45">
      <c r="A16" s="1"/>
      <c r="B16" s="41" t="s">
        <v>17</v>
      </c>
      <c r="C16" s="41" t="s">
        <v>11</v>
      </c>
      <c r="D16" s="42"/>
      <c r="E16" s="41" t="s">
        <v>34</v>
      </c>
      <c r="F16" s="42"/>
      <c r="G16" s="1"/>
    </row>
    <row r="17" spans="1:7" x14ac:dyDescent="0.45">
      <c r="A17" s="1"/>
      <c r="B17" s="25" t="s">
        <v>239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45">
      <c r="A18" s="1"/>
      <c r="B18" s="45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45">
      <c r="A19" s="1"/>
      <c r="B19" s="45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95" t="s">
        <v>112</v>
      </c>
      <c r="C22" s="96"/>
      <c r="D22" s="96"/>
      <c r="E22" s="96"/>
      <c r="F22" s="97"/>
      <c r="G22" s="1"/>
    </row>
    <row r="23" spans="1:7" x14ac:dyDescent="0.45">
      <c r="A23" s="1"/>
      <c r="B23" s="41" t="s">
        <v>17</v>
      </c>
      <c r="C23" s="41" t="s">
        <v>11</v>
      </c>
      <c r="D23" s="42"/>
      <c r="E23" s="41" t="s">
        <v>34</v>
      </c>
      <c r="F23" s="42"/>
      <c r="G23" s="1"/>
    </row>
    <row r="24" spans="1:7" x14ac:dyDescent="0.45">
      <c r="A24" s="1"/>
      <c r="B24" s="25" t="s">
        <v>239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45">
      <c r="A25" s="1"/>
      <c r="B25" s="45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45">
      <c r="A26" s="1"/>
      <c r="B26" s="45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5" t="s">
        <v>182</v>
      </c>
      <c r="C29" s="96"/>
      <c r="D29" s="96"/>
      <c r="E29" s="96"/>
      <c r="F29" s="97"/>
      <c r="G29" s="1"/>
    </row>
    <row r="30" spans="1:7" x14ac:dyDescent="0.45">
      <c r="A30" s="1"/>
      <c r="B30" s="41" t="s">
        <v>17</v>
      </c>
      <c r="C30" s="41" t="s">
        <v>11</v>
      </c>
      <c r="D30" s="42"/>
      <c r="E30" s="41" t="s">
        <v>34</v>
      </c>
      <c r="F30" s="42"/>
      <c r="G30" s="1"/>
    </row>
    <row r="31" spans="1:7" x14ac:dyDescent="0.45">
      <c r="A31" s="1"/>
      <c r="B31" s="25" t="s">
        <v>239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45">
      <c r="A32" s="1"/>
      <c r="B32" s="45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45">
      <c r="A33" s="1"/>
      <c r="B33" s="45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0eGteLtwax+q7Rws63pcaGq+j3w6EH8ck4SVLDLS9cLOPHfkK75ze+SQFWWDwizG79+szh+YmanNxCcoPQYnEQ==" saltValue="QBUO5oXWYkK69wXrYzk4Z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6.1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2" t="s">
        <v>211</v>
      </c>
      <c r="C3" s="82"/>
      <c r="D3" s="1"/>
    </row>
    <row r="4" spans="1:4" ht="25.5" customHeight="1" x14ac:dyDescent="0.45">
      <c r="A4" s="1"/>
      <c r="B4" s="82"/>
      <c r="C4" s="82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5" t="s">
        <v>14</v>
      </c>
      <c r="C8" s="20"/>
      <c r="D8" s="1"/>
    </row>
    <row r="9" spans="1:4" x14ac:dyDescent="0.45">
      <c r="A9" s="1"/>
      <c r="B9" s="48" t="s">
        <v>141</v>
      </c>
      <c r="C9" s="26">
        <v>1.2699999999999999E-2</v>
      </c>
      <c r="D9" s="1"/>
    </row>
    <row r="10" spans="1:4" x14ac:dyDescent="0.45">
      <c r="A10" s="1"/>
      <c r="B10" s="48" t="s">
        <v>22</v>
      </c>
      <c r="C10" s="26">
        <v>1.7500000000000002E-2</v>
      </c>
      <c r="D10" s="1"/>
    </row>
    <row r="11" spans="1:4" x14ac:dyDescent="0.45">
      <c r="A11" s="1"/>
      <c r="B11" s="48" t="s">
        <v>142</v>
      </c>
      <c r="C11" s="26">
        <v>1.6899999999999998E-2</v>
      </c>
      <c r="D11" s="1"/>
    </row>
    <row r="12" spans="1:4" x14ac:dyDescent="0.45">
      <c r="A12" s="1"/>
      <c r="B12" s="34" t="s">
        <v>47</v>
      </c>
      <c r="C12" s="35">
        <v>1.9699999999999999E-2</v>
      </c>
      <c r="D12" s="1"/>
    </row>
    <row r="13" spans="1:4" x14ac:dyDescent="0.45">
      <c r="A13" s="1"/>
      <c r="B13" s="34" t="s">
        <v>178</v>
      </c>
      <c r="C13" s="35">
        <v>1.2200000000000001E-2</v>
      </c>
      <c r="D13" s="1"/>
    </row>
    <row r="14" spans="1:4" x14ac:dyDescent="0.45">
      <c r="A14" s="1"/>
      <c r="B14" s="95"/>
      <c r="C14" s="97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5" t="s">
        <v>126</v>
      </c>
      <c r="C17" s="20"/>
      <c r="D17" s="1"/>
    </row>
    <row r="18" spans="1:4" x14ac:dyDescent="0.45">
      <c r="A18" s="1"/>
      <c r="B18" s="48" t="s">
        <v>143</v>
      </c>
      <c r="C18" s="23">
        <v>9.1000000000000004E-3</v>
      </c>
      <c r="D18" s="1"/>
    </row>
    <row r="19" spans="1:4" x14ac:dyDescent="0.45">
      <c r="A19" s="1"/>
      <c r="B19" s="48" t="s">
        <v>144</v>
      </c>
      <c r="C19" s="23">
        <v>1.77E-2</v>
      </c>
      <c r="D19" s="1"/>
    </row>
    <row r="20" spans="1:4" x14ac:dyDescent="0.45">
      <c r="A20" s="1"/>
      <c r="B20" s="48" t="s">
        <v>145</v>
      </c>
      <c r="C20" s="23">
        <v>8.6999999999999994E-3</v>
      </c>
      <c r="D20" s="1"/>
    </row>
    <row r="21" spans="1:4" x14ac:dyDescent="0.45">
      <c r="A21" s="1"/>
      <c r="B21" s="48" t="s">
        <v>146</v>
      </c>
      <c r="C21" s="36">
        <v>2.8400000000000002E-2</v>
      </c>
      <c r="D21" s="1"/>
    </row>
    <row r="22" spans="1:4" x14ac:dyDescent="0.45">
      <c r="A22" s="1"/>
      <c r="B22" s="48" t="s">
        <v>186</v>
      </c>
      <c r="C22" s="36">
        <v>2.75E-2</v>
      </c>
      <c r="D22" s="1"/>
    </row>
    <row r="23" spans="1:4" x14ac:dyDescent="0.45">
      <c r="A23" s="1"/>
      <c r="B23" s="45"/>
      <c r="C23" s="20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45" t="s">
        <v>127</v>
      </c>
      <c r="C26" s="20"/>
      <c r="D26" s="1"/>
    </row>
    <row r="27" spans="1:4" x14ac:dyDescent="0.45">
      <c r="A27" s="1"/>
      <c r="B27" s="48" t="s">
        <v>147</v>
      </c>
      <c r="C27" s="26">
        <v>0.02</v>
      </c>
      <c r="D27" s="1"/>
    </row>
    <row r="28" spans="1:4" x14ac:dyDescent="0.45">
      <c r="A28" s="1"/>
      <c r="B28" s="45"/>
      <c r="C28" s="20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p4W+FDlXpN672GCVfswnI/EBbQsGz+OEb1QWKX5fA32rZ/0/b8PfveE4PRlwkyvPH61jE52EPSfhIfXcOlGQTw==" saltValue="fvSJf16XrHpfYQAIDpkymQ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6.73046875" style="2" customWidth="1"/>
    <col min="3" max="3" width="12.7304687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161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5" t="s">
        <v>13</v>
      </c>
      <c r="C8" s="46"/>
      <c r="D8" s="20"/>
      <c r="E8" s="1"/>
    </row>
    <row r="9" spans="1:5" x14ac:dyDescent="0.45">
      <c r="A9" s="1"/>
      <c r="B9" s="47" t="s">
        <v>25</v>
      </c>
      <c r="C9" s="7">
        <f>'Fane 3. Omkostninger i ØR2020'!E20</f>
        <v>19432016.227245331</v>
      </c>
      <c r="D9" s="8" t="s">
        <v>3</v>
      </c>
      <c r="E9" s="1"/>
    </row>
    <row r="10" spans="1:5" ht="17.100000000000001" customHeight="1" x14ac:dyDescent="0.45">
      <c r="A10" s="1"/>
      <c r="B10" s="31" t="s">
        <v>45</v>
      </c>
      <c r="C10" s="7">
        <f>'Fane 9.1. Varige tillæg'!C13</f>
        <v>77819.960399999996</v>
      </c>
      <c r="D10" s="8" t="s">
        <v>3</v>
      </c>
      <c r="E10" s="1"/>
    </row>
    <row r="11" spans="1:5" ht="17.100000000000001" customHeight="1" x14ac:dyDescent="0.45">
      <c r="A11" s="1"/>
      <c r="B11" s="31" t="s">
        <v>46</v>
      </c>
      <c r="C11" s="9">
        <f>'Fane 9.1. Varige tillæg'!E13</f>
        <v>3890974.8878559996</v>
      </c>
      <c r="D11" s="8" t="s">
        <v>3</v>
      </c>
      <c r="E11" s="1"/>
    </row>
    <row r="12" spans="1:5" ht="17.100000000000001" customHeight="1" x14ac:dyDescent="0.45">
      <c r="A12" s="1"/>
      <c r="B12" s="31" t="s">
        <v>30</v>
      </c>
      <c r="C12" s="9">
        <f>-'Fane 11.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31" t="s">
        <v>29</v>
      </c>
      <c r="C13" s="9">
        <f>-'Fane 11.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31" t="s">
        <v>159</v>
      </c>
      <c r="C14" s="9">
        <f>'Fane 10.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31" t="s">
        <v>160</v>
      </c>
      <c r="C15" s="9">
        <f>'Fane 10.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31" t="s">
        <v>18</v>
      </c>
      <c r="C16" s="9">
        <f>SUM(C9:C15)*'Fane 12. Nøgletal'!C13</f>
        <v>285489.89512111625</v>
      </c>
      <c r="D16" s="8" t="s">
        <v>3</v>
      </c>
      <c r="E16" s="1"/>
    </row>
    <row r="17" spans="1:5" ht="17.100000000000001" customHeight="1" x14ac:dyDescent="0.45">
      <c r="A17" s="1"/>
      <c r="B17" s="31" t="s">
        <v>9</v>
      </c>
      <c r="C17" s="9">
        <f>-SUM(C9:C16)*'Fane 5. Individuelt eff. krav'!G10</f>
        <v>-299009.95668505726</v>
      </c>
      <c r="D17" s="8" t="s">
        <v>3</v>
      </c>
      <c r="E17" s="1"/>
    </row>
    <row r="18" spans="1:5" ht="17.100000000000001" customHeight="1" x14ac:dyDescent="0.45">
      <c r="A18" s="1"/>
      <c r="B18" s="31" t="s">
        <v>27</v>
      </c>
      <c r="C18" s="9">
        <f>-'Fane 4.1. Gen. krav - drift'!G31</f>
        <v>-185682.5887991967</v>
      </c>
      <c r="D18" s="8" t="s">
        <v>3</v>
      </c>
      <c r="E18" s="1"/>
    </row>
    <row r="19" spans="1:5" ht="17.100000000000001" customHeight="1" x14ac:dyDescent="0.45">
      <c r="A19" s="1"/>
      <c r="B19" s="31" t="s">
        <v>28</v>
      </c>
      <c r="C19" s="9">
        <f>-'Fane 4.2. Gen. krav - anlæg'!G31</f>
        <v>-439247.77719176217</v>
      </c>
      <c r="D19" s="8" t="s">
        <v>3</v>
      </c>
      <c r="E19" s="1"/>
    </row>
    <row r="20" spans="1:5" ht="17.100000000000001" customHeight="1" x14ac:dyDescent="0.45">
      <c r="A20" s="1"/>
      <c r="B20" s="49" t="s">
        <v>20</v>
      </c>
      <c r="C20" s="10">
        <f>SUM(C9:C19)</f>
        <v>22762360.647946429</v>
      </c>
      <c r="D20" s="11" t="s">
        <v>3</v>
      </c>
      <c r="E20" s="1"/>
    </row>
    <row r="21" spans="1:5" ht="15" customHeight="1" x14ac:dyDescent="0.45">
      <c r="A21" s="1"/>
      <c r="B21" s="45" t="s">
        <v>12</v>
      </c>
      <c r="C21" s="46"/>
      <c r="D21" s="20"/>
      <c r="E21" s="1"/>
    </row>
    <row r="22" spans="1:5" ht="15" customHeight="1" x14ac:dyDescent="0.45">
      <c r="A22" s="1"/>
      <c r="B22" s="41" t="s">
        <v>12</v>
      </c>
      <c r="C22" s="10">
        <f>'Fane 6. Ikke-påvirkelige omk.'!C15</f>
        <v>10434012.363737602</v>
      </c>
      <c r="D22" s="11" t="s">
        <v>3</v>
      </c>
      <c r="E22" s="1"/>
    </row>
    <row r="23" spans="1:5" ht="15" customHeight="1" x14ac:dyDescent="0.45">
      <c r="A23" s="1"/>
      <c r="B23" s="45" t="s">
        <v>99</v>
      </c>
      <c r="C23" s="46"/>
      <c r="D23" s="20"/>
      <c r="E23" s="1"/>
    </row>
    <row r="24" spans="1:5" ht="15" customHeight="1" x14ac:dyDescent="0.45">
      <c r="A24" s="1"/>
      <c r="B24" s="31" t="s">
        <v>95</v>
      </c>
      <c r="C24" s="9">
        <f>'Fane 9.2. Engangstillæg'!C14</f>
        <v>0</v>
      </c>
      <c r="D24" s="8" t="s">
        <v>3</v>
      </c>
      <c r="E24" s="1"/>
    </row>
    <row r="25" spans="1:5" ht="15" customHeight="1" x14ac:dyDescent="0.45">
      <c r="A25" s="1"/>
      <c r="B25" s="31" t="s">
        <v>96</v>
      </c>
      <c r="C25" s="9">
        <f>'Fane 9.2. Engangstillæg'!E14</f>
        <v>0</v>
      </c>
      <c r="D25" s="8" t="s">
        <v>3</v>
      </c>
      <c r="E25" s="1"/>
    </row>
    <row r="26" spans="1:5" x14ac:dyDescent="0.45">
      <c r="A26" s="1"/>
      <c r="B26" s="49" t="s">
        <v>100</v>
      </c>
      <c r="C26" s="10">
        <f>SUM(C24:C25)</f>
        <v>0</v>
      </c>
      <c r="D26" s="11" t="s">
        <v>3</v>
      </c>
      <c r="E26" s="1"/>
    </row>
    <row r="27" spans="1:5" ht="15" customHeight="1" x14ac:dyDescent="0.45">
      <c r="A27" s="1"/>
      <c r="B27" s="38" t="s">
        <v>204</v>
      </c>
      <c r="C27" s="46"/>
      <c r="D27" s="20"/>
      <c r="E27" s="1"/>
    </row>
    <row r="28" spans="1:5" x14ac:dyDescent="0.45">
      <c r="A28" s="1"/>
      <c r="B28" s="50" t="s">
        <v>205</v>
      </c>
      <c r="C28" s="10">
        <f>'Fane 7. Kontrol af ØR2019'!E39</f>
        <v>-953381.03375349008</v>
      </c>
      <c r="D28" s="11" t="s">
        <v>3</v>
      </c>
      <c r="E28" s="1"/>
    </row>
    <row r="29" spans="1:5" x14ac:dyDescent="0.45">
      <c r="A29" s="1"/>
      <c r="B29" s="45" t="s">
        <v>31</v>
      </c>
      <c r="C29" s="32">
        <f>SUM(C20,C22,C26,C28)</f>
        <v>32242991.977930538</v>
      </c>
      <c r="D29" s="20" t="s">
        <v>3</v>
      </c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</sheetData>
  <sheetProtection algorithmName="SHA-512" hashValue="4EjEiQNXhrH0yaCigJmUE30NqvMVCx9tMY483UDvM65N54pmQjVTos3nLIV/SPHQ5bwJJzOGHOZbsg1GF2u50Q==" saltValue="3h6w6cVsxhm8KpaRUt0U5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398437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162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/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5" t="s">
        <v>13</v>
      </c>
      <c r="C8" s="46"/>
      <c r="D8" s="20"/>
      <c r="E8" s="1"/>
    </row>
    <row r="9" spans="1:5" ht="15" customHeight="1" x14ac:dyDescent="0.45">
      <c r="A9" s="1"/>
      <c r="B9" s="47" t="s">
        <v>26</v>
      </c>
      <c r="C9" s="7">
        <f>'Fane 2.1. Økonomisk ramme 2021'!C20</f>
        <v>22762360.647946429</v>
      </c>
      <c r="D9" s="8" t="s">
        <v>3</v>
      </c>
      <c r="E9" s="1"/>
    </row>
    <row r="10" spans="1:5" ht="15" customHeight="1" x14ac:dyDescent="0.4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4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45">
      <c r="A12" s="1"/>
      <c r="B12" s="39" t="s">
        <v>18</v>
      </c>
      <c r="C12" s="9">
        <f>SUM(C9:C11)*'Fane 12. Nøgletal'!C13</f>
        <v>277700.79990494647</v>
      </c>
      <c r="D12" s="8" t="s">
        <v>3</v>
      </c>
      <c r="E12" s="1"/>
    </row>
    <row r="13" spans="1:5" ht="15" customHeight="1" x14ac:dyDescent="0.45">
      <c r="A13" s="1"/>
      <c r="B13" s="39" t="s">
        <v>9</v>
      </c>
      <c r="C13" s="9">
        <f>-SUM(C9:C12)*'Fane 5. Individuelt eff. krav'!G10</f>
        <v>-290851.99010548828</v>
      </c>
      <c r="D13" s="8" t="s">
        <v>3</v>
      </c>
      <c r="E13" s="1"/>
    </row>
    <row r="14" spans="1:5" ht="15" customHeight="1" x14ac:dyDescent="0.45">
      <c r="A14" s="1"/>
      <c r="B14" s="39" t="s">
        <v>27</v>
      </c>
      <c r="C14" s="9">
        <f>-'Fane 4.1. Gen. krav - drift'!G37</f>
        <v>-184188.95805489595</v>
      </c>
      <c r="D14" s="8" t="s">
        <v>3</v>
      </c>
      <c r="E14" s="1"/>
    </row>
    <row r="15" spans="1:5" ht="15" customHeight="1" x14ac:dyDescent="0.45">
      <c r="A15" s="1"/>
      <c r="B15" s="39" t="s">
        <v>28</v>
      </c>
      <c r="C15" s="9">
        <f>-'Fane 4.2. Gen. krav - anlæg'!G37</f>
        <v>-432379.91857148038</v>
      </c>
      <c r="D15" s="8" t="s">
        <v>3</v>
      </c>
      <c r="E15" s="1"/>
    </row>
    <row r="16" spans="1:5" ht="15" customHeight="1" x14ac:dyDescent="0.45">
      <c r="A16" s="1"/>
      <c r="B16" s="40" t="s">
        <v>20</v>
      </c>
      <c r="C16" s="10">
        <f>SUM(C9:C15)</f>
        <v>22132640.581119511</v>
      </c>
      <c r="D16" s="11" t="s">
        <v>3</v>
      </c>
      <c r="E16" s="1"/>
    </row>
    <row r="17" spans="1:5" x14ac:dyDescent="0.45">
      <c r="A17" s="1"/>
      <c r="B17" s="45" t="s">
        <v>12</v>
      </c>
      <c r="C17" s="46"/>
      <c r="D17" s="20"/>
      <c r="E17" s="1"/>
    </row>
    <row r="18" spans="1:5" ht="15" customHeight="1" x14ac:dyDescent="0.45">
      <c r="A18" s="1"/>
      <c r="B18" s="41" t="s">
        <v>12</v>
      </c>
      <c r="C18" s="10">
        <f>'Fane 6. Ikke-påvirkelige omk.'!C15*(1+'Fane 12. Nøgletal'!C13)</f>
        <v>10561307.314575201</v>
      </c>
      <c r="D18" s="11" t="s">
        <v>3</v>
      </c>
      <c r="E18" s="1"/>
    </row>
    <row r="19" spans="1:5" ht="15" customHeight="1" x14ac:dyDescent="0.45">
      <c r="A19" s="1"/>
      <c r="B19" s="45" t="s">
        <v>99</v>
      </c>
      <c r="C19" s="46"/>
      <c r="D19" s="20"/>
      <c r="E19" s="1"/>
    </row>
    <row r="20" spans="1:5" ht="15" customHeight="1" x14ac:dyDescent="0.4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4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45">
      <c r="A22" s="1"/>
      <c r="B22" s="49" t="s">
        <v>100</v>
      </c>
      <c r="C22" s="10">
        <f>SUM(C20:C21)</f>
        <v>0</v>
      </c>
      <c r="D22" s="11" t="s">
        <v>3</v>
      </c>
      <c r="E22" s="1"/>
    </row>
    <row r="23" spans="1:5" x14ac:dyDescent="0.45">
      <c r="A23" s="1"/>
      <c r="B23" s="38" t="s">
        <v>204</v>
      </c>
      <c r="C23" s="46"/>
      <c r="D23" s="20"/>
      <c r="E23" s="1"/>
    </row>
    <row r="24" spans="1:5" ht="15" customHeight="1" x14ac:dyDescent="0.45">
      <c r="A24" s="1"/>
      <c r="B24" s="50" t="s">
        <v>205</v>
      </c>
      <c r="C24" s="10">
        <f>'Fane 7. Kontrol af ØR2019'!E39</f>
        <v>-953381.03375349008</v>
      </c>
      <c r="D24" s="11" t="s">
        <v>3</v>
      </c>
      <c r="E24" s="1"/>
    </row>
    <row r="25" spans="1:5" x14ac:dyDescent="0.45">
      <c r="A25" s="1"/>
      <c r="B25" s="45" t="s">
        <v>32</v>
      </c>
      <c r="C25" s="12">
        <f>SUM(C16,C18,C22,C24)</f>
        <v>31740566.861941218</v>
      </c>
      <c r="D25" s="13" t="s">
        <v>3</v>
      </c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F2Rarh7roBJyD3W2PAM/QllkXpUyDmQ7pdCIxA2RzSa9M93Q0n0PFE/h6uMS+X5fTfh/ZwgWprJMxm6SeD1UOQ==" saltValue="JtZ0PMjKR1nkdc/D0Nuk4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2656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163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21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5" t="s">
        <v>13</v>
      </c>
      <c r="C7" s="46"/>
      <c r="D7" s="20"/>
      <c r="E7" s="1"/>
    </row>
    <row r="8" spans="1:5" ht="15" customHeight="1" x14ac:dyDescent="0.45">
      <c r="A8" s="1"/>
      <c r="B8" s="47" t="s">
        <v>165</v>
      </c>
      <c r="C8" s="7">
        <f>'Fane 2.2. Økonomisk ramme 2022'!C16</f>
        <v>22132640.581119511</v>
      </c>
      <c r="D8" s="8" t="s">
        <v>3</v>
      </c>
      <c r="E8" s="1"/>
    </row>
    <row r="9" spans="1:5" ht="15" customHeight="1" x14ac:dyDescent="0.45">
      <c r="A9" s="1"/>
      <c r="B9" s="47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45">
      <c r="A10" s="1"/>
      <c r="B10" s="47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45">
      <c r="A11" s="1"/>
      <c r="B11" s="39" t="s">
        <v>18</v>
      </c>
      <c r="C11" s="9">
        <f>SUM(C8:C10)*'Fane 12. Nøgletal'!C13</f>
        <v>270018.21508965804</v>
      </c>
      <c r="D11" s="8" t="s">
        <v>3</v>
      </c>
      <c r="E11" s="1"/>
    </row>
    <row r="12" spans="1:5" ht="15" customHeight="1" x14ac:dyDescent="0.45">
      <c r="A12" s="1"/>
      <c r="B12" s="39" t="s">
        <v>9</v>
      </c>
      <c r="C12" s="9">
        <f>-SUM(C8:C11)*'Fane 5. Individuelt eff. krav'!G10</f>
        <v>-282805.57798335655</v>
      </c>
      <c r="D12" s="8" t="s">
        <v>3</v>
      </c>
      <c r="E12" s="1"/>
    </row>
    <row r="13" spans="1:5" ht="15" customHeight="1" x14ac:dyDescent="0.45">
      <c r="A13" s="1"/>
      <c r="B13" s="39" t="s">
        <v>27</v>
      </c>
      <c r="C13" s="9">
        <f>-'Fane 4.1. Gen. krav - drift'!G43</f>
        <v>-182707.34207630236</v>
      </c>
      <c r="D13" s="8" t="s">
        <v>3</v>
      </c>
      <c r="E13" s="1"/>
    </row>
    <row r="14" spans="1:5" ht="15" customHeight="1" x14ac:dyDescent="0.45">
      <c r="A14" s="1"/>
      <c r="B14" s="39" t="s">
        <v>28</v>
      </c>
      <c r="C14" s="9">
        <f>-'Fane 4.2. Gen. krav - anlæg'!G43</f>
        <v>-425619.442354656</v>
      </c>
      <c r="D14" s="8" t="s">
        <v>3</v>
      </c>
      <c r="E14" s="1"/>
    </row>
    <row r="15" spans="1:5" x14ac:dyDescent="0.45">
      <c r="A15" s="1"/>
      <c r="B15" s="40" t="s">
        <v>20</v>
      </c>
      <c r="C15" s="10">
        <f>SUM(C8:C14)</f>
        <v>21511526.433794852</v>
      </c>
      <c r="D15" s="11" t="s">
        <v>3</v>
      </c>
      <c r="E15" s="1"/>
    </row>
    <row r="16" spans="1:5" x14ac:dyDescent="0.45">
      <c r="A16" s="1"/>
      <c r="B16" s="45" t="s">
        <v>12</v>
      </c>
      <c r="C16" s="46"/>
      <c r="D16" s="20"/>
      <c r="E16" s="1"/>
    </row>
    <row r="17" spans="1:5" ht="15" customHeight="1" x14ac:dyDescent="0.45">
      <c r="A17" s="1"/>
      <c r="B17" s="41" t="s">
        <v>12</v>
      </c>
      <c r="C17" s="10">
        <f>'Fane 6. Ikke-påvirkelige omk.'!C15*(1+'Fane 12. Nøgletal'!C13)^2</f>
        <v>10690155.263813019</v>
      </c>
      <c r="D17" s="11" t="s">
        <v>3</v>
      </c>
      <c r="E17" s="1"/>
    </row>
    <row r="18" spans="1:5" ht="15" customHeight="1" x14ac:dyDescent="0.45">
      <c r="A18" s="1"/>
      <c r="B18" s="45" t="s">
        <v>99</v>
      </c>
      <c r="C18" s="46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45">
      <c r="A21" s="1"/>
      <c r="B21" s="49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45">
      <c r="A22" s="1"/>
      <c r="B22" s="45" t="s">
        <v>109</v>
      </c>
      <c r="C22" s="12">
        <f>SUM(C15,C17,C21)</f>
        <v>32201681.697607871</v>
      </c>
      <c r="D22" s="13" t="s">
        <v>3</v>
      </c>
      <c r="E22" s="1"/>
    </row>
    <row r="23" spans="1:5" ht="15" customHeight="1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V+wmnmwiq19URu00aUJOOPqBnrK+FIwrkoCF/0x9sQVZJlqGIG6bdfjq2y/d7iGwrPgRu4BdLqnKo5WtVFpFAg==" saltValue="JZf5L0lWGTkcoeokwr/YY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164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21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5" t="s">
        <v>13</v>
      </c>
      <c r="C7" s="46"/>
      <c r="D7" s="20"/>
      <c r="E7" s="1"/>
    </row>
    <row r="8" spans="1:5" ht="15" customHeight="1" x14ac:dyDescent="0.45">
      <c r="A8" s="1"/>
      <c r="B8" s="47" t="s">
        <v>166</v>
      </c>
      <c r="C8" s="7">
        <f>'Fane 2.3. Økonomisk ramme 2023'!C15</f>
        <v>21511526.433794852</v>
      </c>
      <c r="D8" s="8" t="s">
        <v>3</v>
      </c>
      <c r="E8" s="1"/>
    </row>
    <row r="9" spans="1:5" ht="15" customHeight="1" x14ac:dyDescent="0.45">
      <c r="A9" s="1"/>
      <c r="B9" s="47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45">
      <c r="A10" s="1"/>
      <c r="B10" s="47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45">
      <c r="A11" s="1"/>
      <c r="B11" s="39" t="s">
        <v>18</v>
      </c>
      <c r="C11" s="9">
        <f>SUM(C8:C10)*'Fane 12. Nøgletal'!C13</f>
        <v>262440.6224922972</v>
      </c>
      <c r="D11" s="8" t="s">
        <v>3</v>
      </c>
      <c r="E11" s="1"/>
    </row>
    <row r="12" spans="1:5" ht="15" customHeight="1" x14ac:dyDescent="0.45">
      <c r="A12" s="1"/>
      <c r="B12" s="39" t="s">
        <v>9</v>
      </c>
      <c r="C12" s="9">
        <f>-SUM(C8:C11)*'Fane 5. Individuelt eff. krav'!G10</f>
        <v>-274869.1302384981</v>
      </c>
      <c r="D12" s="8" t="s">
        <v>3</v>
      </c>
      <c r="E12" s="1"/>
    </row>
    <row r="13" spans="1:5" ht="15" customHeight="1" x14ac:dyDescent="0.45">
      <c r="A13" s="1"/>
      <c r="B13" s="39" t="s">
        <v>27</v>
      </c>
      <c r="C13" s="9">
        <f>-'Fane 4.1. Gen. krav - drift'!G49</f>
        <v>-181237.64421664059</v>
      </c>
      <c r="D13" s="8" t="s">
        <v>3</v>
      </c>
      <c r="E13" s="1"/>
    </row>
    <row r="14" spans="1:5" ht="15" customHeight="1" x14ac:dyDescent="0.45">
      <c r="A14" s="1"/>
      <c r="B14" s="39" t="s">
        <v>28</v>
      </c>
      <c r="C14" s="9">
        <f>-'Fane 4.2. Gen. krav - anlæg'!G49</f>
        <v>-418964.66956371977</v>
      </c>
      <c r="D14" s="8" t="s">
        <v>3</v>
      </c>
      <c r="E14" s="1"/>
    </row>
    <row r="15" spans="1:5" x14ac:dyDescent="0.45">
      <c r="A15" s="1"/>
      <c r="B15" s="40" t="s">
        <v>20</v>
      </c>
      <c r="C15" s="10">
        <f>SUM(C8:C14)</f>
        <v>20898895.612268291</v>
      </c>
      <c r="D15" s="11" t="s">
        <v>3</v>
      </c>
      <c r="E15" s="1"/>
    </row>
    <row r="16" spans="1:5" x14ac:dyDescent="0.45">
      <c r="A16" s="1"/>
      <c r="B16" s="45" t="s">
        <v>12</v>
      </c>
      <c r="C16" s="46"/>
      <c r="D16" s="20"/>
      <c r="E16" s="1"/>
    </row>
    <row r="17" spans="1:5" ht="15" customHeight="1" x14ac:dyDescent="0.45">
      <c r="A17" s="1"/>
      <c r="B17" s="41" t="s">
        <v>12</v>
      </c>
      <c r="C17" s="10">
        <f>'Fane 6. Ikke-påvirkelige omk.'!C15*(1+'Fane 12. Nøgletal'!C13)^3</f>
        <v>10820575.158031538</v>
      </c>
      <c r="D17" s="11" t="s">
        <v>3</v>
      </c>
      <c r="E17" s="1"/>
    </row>
    <row r="18" spans="1:5" ht="15" customHeight="1" x14ac:dyDescent="0.45">
      <c r="A18" s="1"/>
      <c r="B18" s="45" t="s">
        <v>99</v>
      </c>
      <c r="C18" s="46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45">
      <c r="A21" s="1"/>
      <c r="B21" s="49" t="s">
        <v>100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45" t="s">
        <v>242</v>
      </c>
      <c r="C22" s="12">
        <f>SUM(C15,C17,C21)</f>
        <v>31719470.77029983</v>
      </c>
      <c r="D22" s="13" t="s">
        <v>3</v>
      </c>
      <c r="E22" s="1"/>
    </row>
    <row r="23" spans="1:5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7W30iVgk9SLDUDhB7YRUKLZXT8mmzTIM9qVC/VlmiCs/NgJv8HH4roh3nw53hz2yZKs9BBbB+44g5R/jXFZYfA==" saltValue="FRNq77RDjvs+Yer85vxqW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3984375" style="2" customWidth="1"/>
    <col min="5" max="5" width="9.863281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2" t="s">
        <v>180</v>
      </c>
      <c r="C3" s="82"/>
      <c r="D3" s="82"/>
      <c r="E3" s="82"/>
      <c r="F3" s="82"/>
      <c r="G3" s="1"/>
    </row>
    <row r="4" spans="1:7" ht="29.25" customHeight="1" x14ac:dyDescent="0.45">
      <c r="A4" s="1"/>
      <c r="B4" s="82"/>
      <c r="C4" s="82"/>
      <c r="D4" s="82"/>
      <c r="E4" s="82"/>
      <c r="F4" s="8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5" t="s">
        <v>167</v>
      </c>
      <c r="C8" s="46"/>
      <c r="D8" s="46"/>
      <c r="E8" s="46"/>
      <c r="F8" s="20"/>
      <c r="G8" s="1"/>
    </row>
    <row r="9" spans="1:7" x14ac:dyDescent="0.45">
      <c r="A9" s="1"/>
      <c r="B9" s="83" t="s">
        <v>23</v>
      </c>
      <c r="C9" s="84"/>
      <c r="D9" s="85"/>
      <c r="E9" s="7">
        <v>19599513.88735842</v>
      </c>
      <c r="F9" s="8" t="s">
        <v>3</v>
      </c>
      <c r="G9" s="1"/>
    </row>
    <row r="10" spans="1:7" ht="15" customHeight="1" x14ac:dyDescent="0.45">
      <c r="A10" s="1"/>
      <c r="B10" s="74" t="s">
        <v>45</v>
      </c>
      <c r="C10" s="75"/>
      <c r="D10" s="76"/>
      <c r="E10" s="7">
        <v>34648.386299999998</v>
      </c>
      <c r="F10" s="8" t="s">
        <v>3</v>
      </c>
      <c r="G10" s="1"/>
    </row>
    <row r="11" spans="1:7" ht="15" customHeight="1" x14ac:dyDescent="0.45">
      <c r="A11" s="1"/>
      <c r="B11" s="74" t="s">
        <v>46</v>
      </c>
      <c r="C11" s="75"/>
      <c r="D11" s="76"/>
      <c r="E11" s="9">
        <v>123050.25810000001</v>
      </c>
      <c r="F11" s="8" t="s">
        <v>3</v>
      </c>
      <c r="G11" s="1"/>
    </row>
    <row r="12" spans="1:7" x14ac:dyDescent="0.45">
      <c r="A12" s="1"/>
      <c r="B12" s="74" t="s">
        <v>30</v>
      </c>
      <c r="C12" s="75"/>
      <c r="D12" s="76"/>
      <c r="E12" s="9">
        <v>0</v>
      </c>
      <c r="F12" s="8" t="s">
        <v>3</v>
      </c>
      <c r="G12" s="1"/>
    </row>
    <row r="13" spans="1:7" x14ac:dyDescent="0.45">
      <c r="A13" s="1"/>
      <c r="B13" s="74" t="s">
        <v>29</v>
      </c>
      <c r="C13" s="75"/>
      <c r="D13" s="76"/>
      <c r="E13" s="9">
        <v>0</v>
      </c>
      <c r="F13" s="8" t="s">
        <v>3</v>
      </c>
      <c r="G13" s="1"/>
    </row>
    <row r="14" spans="1:7" x14ac:dyDescent="0.45">
      <c r="A14" s="1"/>
      <c r="B14" s="74" t="s">
        <v>159</v>
      </c>
      <c r="C14" s="75"/>
      <c r="D14" s="76"/>
      <c r="E14" s="9">
        <v>0</v>
      </c>
      <c r="F14" s="8" t="s">
        <v>3</v>
      </c>
      <c r="G14" s="1"/>
    </row>
    <row r="15" spans="1:7" x14ac:dyDescent="0.45">
      <c r="A15" s="1"/>
      <c r="B15" s="74" t="s">
        <v>160</v>
      </c>
      <c r="C15" s="75"/>
      <c r="D15" s="76"/>
      <c r="E15" s="9">
        <v>0</v>
      </c>
      <c r="F15" s="8" t="s">
        <v>3</v>
      </c>
      <c r="G15" s="1"/>
    </row>
    <row r="16" spans="1:7" x14ac:dyDescent="0.45">
      <c r="A16" s="1"/>
      <c r="B16" s="74" t="s">
        <v>18</v>
      </c>
      <c r="C16" s="75"/>
      <c r="D16" s="76"/>
      <c r="E16" s="9">
        <f>E9*'Fane 12. Nøgletal'!C11+SUM(E10:E15)*'Fane 12. Nøgletal'!C12</f>
        <v>334338.44799103728</v>
      </c>
      <c r="F16" s="8" t="s">
        <v>3</v>
      </c>
      <c r="G16" s="1"/>
    </row>
    <row r="17" spans="1:7" x14ac:dyDescent="0.45">
      <c r="A17" s="1"/>
      <c r="B17" s="74" t="s">
        <v>9</v>
      </c>
      <c r="C17" s="75"/>
      <c r="D17" s="76"/>
      <c r="E17" s="9">
        <f>-SUM(E9:E16)*'Fane 5. Individuelt eff. krav'!G9</f>
        <v>-367097.61730454164</v>
      </c>
      <c r="F17" s="8" t="s">
        <v>3</v>
      </c>
      <c r="G17" s="1"/>
    </row>
    <row r="18" spans="1:7" x14ac:dyDescent="0.45">
      <c r="A18" s="1"/>
      <c r="B18" s="74" t="s">
        <v>27</v>
      </c>
      <c r="C18" s="75"/>
      <c r="D18" s="76"/>
      <c r="E18" s="9">
        <f>-'Fane 4.1. Gen. krav - drift'!G25</f>
        <v>-185600.16928256809</v>
      </c>
      <c r="F18" s="8" t="s">
        <v>3</v>
      </c>
      <c r="G18" s="1"/>
    </row>
    <row r="19" spans="1:7" x14ac:dyDescent="0.45">
      <c r="A19" s="1"/>
      <c r="B19" s="74" t="s">
        <v>28</v>
      </c>
      <c r="C19" s="75"/>
      <c r="D19" s="76"/>
      <c r="E19" s="9">
        <f>-'Fane 4.2. Gen. krav - anlæg'!G25</f>
        <v>-106836.96591701754</v>
      </c>
      <c r="F19" s="8" t="s">
        <v>3</v>
      </c>
      <c r="G19" s="1"/>
    </row>
    <row r="20" spans="1:7" x14ac:dyDescent="0.45">
      <c r="A20" s="1"/>
      <c r="B20" s="89" t="s">
        <v>20</v>
      </c>
      <c r="C20" s="90"/>
      <c r="D20" s="91"/>
      <c r="E20" s="10">
        <f>SUM(E9:E19)</f>
        <v>19432016.227245331</v>
      </c>
      <c r="F20" s="11" t="s">
        <v>3</v>
      </c>
      <c r="G20" s="1"/>
    </row>
    <row r="21" spans="1:7" x14ac:dyDescent="0.45">
      <c r="A21" s="1"/>
      <c r="B21" s="77" t="s">
        <v>12</v>
      </c>
      <c r="C21" s="78"/>
      <c r="D21" s="78"/>
      <c r="E21" s="46"/>
      <c r="F21" s="20"/>
      <c r="G21" s="1"/>
    </row>
    <row r="22" spans="1:7" x14ac:dyDescent="0.45">
      <c r="A22" s="1"/>
      <c r="B22" s="79" t="s">
        <v>12</v>
      </c>
      <c r="C22" s="80"/>
      <c r="D22" s="81"/>
      <c r="E22" s="10">
        <v>10501104.344544139</v>
      </c>
      <c r="F22" s="11" t="s">
        <v>3</v>
      </c>
      <c r="G22" s="1"/>
    </row>
    <row r="23" spans="1:7" ht="15" customHeight="1" x14ac:dyDescent="0.45">
      <c r="A23" s="1"/>
      <c r="B23" s="77" t="s">
        <v>99</v>
      </c>
      <c r="C23" s="78"/>
      <c r="D23" s="78"/>
      <c r="E23" s="46"/>
      <c r="F23" s="46"/>
      <c r="G23" s="1"/>
    </row>
    <row r="24" spans="1:7" ht="14.25" customHeight="1" x14ac:dyDescent="0.45">
      <c r="A24" s="1"/>
      <c r="B24" s="86" t="s">
        <v>95</v>
      </c>
      <c r="C24" s="87"/>
      <c r="D24" s="88"/>
      <c r="E24" s="9">
        <v>0</v>
      </c>
      <c r="F24" s="8" t="s">
        <v>3</v>
      </c>
      <c r="G24" s="1"/>
    </row>
    <row r="25" spans="1:7" ht="14.25" customHeight="1" x14ac:dyDescent="0.45">
      <c r="A25" s="1"/>
      <c r="B25" s="86" t="s">
        <v>96</v>
      </c>
      <c r="C25" s="87"/>
      <c r="D25" s="88"/>
      <c r="E25" s="9">
        <v>0</v>
      </c>
      <c r="F25" s="8" t="s">
        <v>3</v>
      </c>
      <c r="G25" s="1"/>
    </row>
    <row r="26" spans="1:7" x14ac:dyDescent="0.45">
      <c r="A26" s="1"/>
      <c r="B26" s="92" t="s">
        <v>100</v>
      </c>
      <c r="C26" s="93"/>
      <c r="D26" s="93"/>
      <c r="E26" s="10">
        <v>0</v>
      </c>
      <c r="F26" s="11" t="s">
        <v>3</v>
      </c>
      <c r="G26" s="1"/>
    </row>
    <row r="27" spans="1:7" ht="14.25" customHeight="1" x14ac:dyDescent="0.45">
      <c r="A27" s="1"/>
      <c r="B27" s="45" t="s">
        <v>228</v>
      </c>
      <c r="C27" s="46"/>
      <c r="D27" s="46"/>
      <c r="E27" s="46"/>
      <c r="F27" s="46"/>
      <c r="G27" s="1"/>
    </row>
    <row r="28" spans="1:7" ht="13.15" customHeight="1" x14ac:dyDescent="0.45">
      <c r="A28" s="1"/>
      <c r="B28" s="92" t="s">
        <v>229</v>
      </c>
      <c r="C28" s="93"/>
      <c r="D28" s="94"/>
      <c r="E28" s="10">
        <v>501317</v>
      </c>
      <c r="F28" s="11" t="s">
        <v>3</v>
      </c>
      <c r="G28" s="1"/>
    </row>
    <row r="29" spans="1:7" x14ac:dyDescent="0.45">
      <c r="A29" s="1"/>
      <c r="B29" s="45" t="s">
        <v>230</v>
      </c>
      <c r="C29" s="46"/>
      <c r="D29" s="46"/>
      <c r="E29" s="46"/>
      <c r="F29" s="20"/>
      <c r="G29" s="1"/>
    </row>
    <row r="30" spans="1:7" ht="15" customHeight="1" x14ac:dyDescent="0.45">
      <c r="A30" s="1"/>
      <c r="B30" s="92" t="s">
        <v>231</v>
      </c>
      <c r="C30" s="93"/>
      <c r="D30" s="94"/>
      <c r="E30" s="10">
        <v>-709104.78829338867</v>
      </c>
      <c r="F30" s="11" t="s">
        <v>3</v>
      </c>
      <c r="G30" s="1"/>
    </row>
    <row r="31" spans="1:7" x14ac:dyDescent="0.45">
      <c r="A31" s="1"/>
      <c r="B31" s="45" t="s">
        <v>232</v>
      </c>
      <c r="C31" s="46"/>
      <c r="D31" s="46"/>
      <c r="E31" s="46"/>
      <c r="F31" s="20"/>
      <c r="G31" s="1"/>
    </row>
    <row r="32" spans="1:7" x14ac:dyDescent="0.45">
      <c r="A32" s="1"/>
      <c r="B32" s="79" t="s">
        <v>233</v>
      </c>
      <c r="C32" s="80"/>
      <c r="D32" s="81"/>
      <c r="E32" s="10">
        <v>32675.907268726762</v>
      </c>
      <c r="F32" s="11" t="s">
        <v>3</v>
      </c>
      <c r="G32" s="1"/>
    </row>
    <row r="33" spans="1:7" x14ac:dyDescent="0.45">
      <c r="A33" s="1"/>
      <c r="B33" s="45" t="s">
        <v>24</v>
      </c>
      <c r="C33" s="46"/>
      <c r="D33" s="46"/>
      <c r="E33" s="12">
        <f>SUM(E30,E26,E28,E22,E20,E32)</f>
        <v>29758008.690764807</v>
      </c>
      <c r="F33" s="13" t="s">
        <v>3</v>
      </c>
      <c r="G33" s="1"/>
    </row>
    <row r="34" spans="1:7" ht="28.15" customHeight="1" x14ac:dyDescent="0.45">
      <c r="A34" s="1"/>
      <c r="B34" s="86" t="s">
        <v>179</v>
      </c>
      <c r="C34" s="87"/>
      <c r="D34" s="87"/>
      <c r="E34" s="87"/>
      <c r="F34" s="88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ht="14.25" customHeight="1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</sheetData>
  <sheetProtection algorithmName="SHA-512" hashValue="GfVv5A/jdIeKyA/elJoZd1t+8eaDp1eNpEaZvKELjV2XmynSzsiHS2VSbqGkWzXCrY8ZL9ItnumiJEwohWIg8g==" saltValue="quveyUDHgLMWmzmhSK0dKg==" spinCount="100000" sheet="1" objects="1" scenarios="1"/>
  <mergeCells count="23"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  <mergeCell ref="B3:F4"/>
    <mergeCell ref="B9:D9"/>
    <mergeCell ref="B10:D10"/>
    <mergeCell ref="B11:D11"/>
    <mergeCell ref="B12:D12"/>
    <mergeCell ref="B13:D13"/>
    <mergeCell ref="B14:D14"/>
    <mergeCell ref="B15:D15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72" t="s">
        <v>138</v>
      </c>
      <c r="C1" s="72"/>
      <c r="D1" s="72"/>
      <c r="E1" s="72"/>
      <c r="F1" s="72"/>
      <c r="G1" s="72"/>
      <c r="H1" s="72"/>
      <c r="I1" s="1"/>
    </row>
    <row r="2" spans="1:9" ht="15" customHeight="1" x14ac:dyDescent="0.45">
      <c r="A2" s="1"/>
      <c r="B2" s="72"/>
      <c r="C2" s="72"/>
      <c r="D2" s="72"/>
      <c r="E2" s="72"/>
      <c r="F2" s="72"/>
      <c r="G2" s="72"/>
      <c r="H2" s="72"/>
      <c r="I2" s="1"/>
    </row>
    <row r="3" spans="1:9" ht="15" customHeight="1" x14ac:dyDescent="0.45">
      <c r="A3" s="1"/>
      <c r="B3" s="72"/>
      <c r="C3" s="72"/>
      <c r="D3" s="72"/>
      <c r="E3" s="72"/>
      <c r="F3" s="72"/>
      <c r="G3" s="72"/>
      <c r="H3" s="72"/>
      <c r="I3" s="1"/>
    </row>
    <row r="4" spans="1:9" x14ac:dyDescent="0.45">
      <c r="A4" s="1"/>
      <c r="B4" s="95" t="s">
        <v>64</v>
      </c>
      <c r="C4" s="96"/>
      <c r="D4" s="96"/>
      <c r="E4" s="96"/>
      <c r="F4" s="96"/>
      <c r="G4" s="96"/>
      <c r="H4" s="97"/>
      <c r="I4" s="1"/>
    </row>
    <row r="5" spans="1:9" x14ac:dyDescent="0.45">
      <c r="A5" s="1"/>
      <c r="B5" s="98" t="s">
        <v>53</v>
      </c>
      <c r="C5" s="99"/>
      <c r="D5" s="99"/>
      <c r="E5" s="99"/>
      <c r="F5" s="100"/>
      <c r="G5" s="24">
        <v>9379425</v>
      </c>
      <c r="H5" s="14" t="s">
        <v>3</v>
      </c>
      <c r="I5" s="1"/>
    </row>
    <row r="6" spans="1:9" x14ac:dyDescent="0.45">
      <c r="A6" s="1"/>
      <c r="B6" s="98" t="s">
        <v>54</v>
      </c>
      <c r="C6" s="99"/>
      <c r="D6" s="99"/>
      <c r="E6" s="99"/>
      <c r="F6" s="100"/>
      <c r="G6" s="24">
        <f>G5*'Fane 12. Nøgletal'!C27</f>
        <v>187588.5</v>
      </c>
      <c r="H6" s="14" t="s">
        <v>3</v>
      </c>
      <c r="I6" s="1"/>
    </row>
    <row r="7" spans="1:9" x14ac:dyDescent="0.45">
      <c r="A7" s="1"/>
      <c r="B7" s="45"/>
      <c r="C7" s="46"/>
      <c r="D7" s="46"/>
      <c r="E7" s="46"/>
      <c r="F7" s="46"/>
      <c r="G7" s="46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5" t="s">
        <v>65</v>
      </c>
      <c r="C9" s="96"/>
      <c r="D9" s="96"/>
      <c r="E9" s="96"/>
      <c r="F9" s="96"/>
      <c r="G9" s="96"/>
      <c r="H9" s="97"/>
      <c r="I9" s="1"/>
    </row>
    <row r="10" spans="1:9" x14ac:dyDescent="0.45">
      <c r="A10" s="1"/>
      <c r="B10" s="98" t="s">
        <v>55</v>
      </c>
      <c r="C10" s="99"/>
      <c r="D10" s="99"/>
      <c r="E10" s="99"/>
      <c r="F10" s="100"/>
      <c r="G10" s="24">
        <f>(G5-G6)*(1+'Fane 12. Nøgletal'!C9)</f>
        <v>9308572.8235499989</v>
      </c>
      <c r="H10" s="14" t="s">
        <v>3</v>
      </c>
      <c r="I10" s="1"/>
    </row>
    <row r="11" spans="1:9" x14ac:dyDescent="0.45">
      <c r="A11" s="1"/>
      <c r="B11" s="101" t="s">
        <v>56</v>
      </c>
      <c r="C11" s="102"/>
      <c r="D11" s="102"/>
      <c r="E11" s="102"/>
      <c r="F11" s="103"/>
      <c r="G11" s="24">
        <v>0</v>
      </c>
      <c r="H11" s="14" t="s">
        <v>3</v>
      </c>
      <c r="I11" s="1"/>
    </row>
    <row r="12" spans="1:9" x14ac:dyDescent="0.45">
      <c r="A12" s="1"/>
      <c r="B12" s="98" t="s">
        <v>57</v>
      </c>
      <c r="C12" s="99"/>
      <c r="D12" s="99"/>
      <c r="E12" s="99"/>
      <c r="F12" s="100"/>
      <c r="G12" s="24">
        <f>(G10+G11)*'Fane 12. Nøgletal'!C27</f>
        <v>186171.45647099998</v>
      </c>
      <c r="H12" s="14" t="s">
        <v>3</v>
      </c>
      <c r="I12" s="1"/>
    </row>
    <row r="13" spans="1:9" x14ac:dyDescent="0.45">
      <c r="A13" s="1"/>
      <c r="B13" s="45"/>
      <c r="C13" s="46"/>
      <c r="D13" s="46"/>
      <c r="E13" s="46"/>
      <c r="F13" s="46"/>
      <c r="G13" s="46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5" t="s">
        <v>66</v>
      </c>
      <c r="C15" s="96"/>
      <c r="D15" s="96"/>
      <c r="E15" s="96"/>
      <c r="F15" s="96"/>
      <c r="G15" s="96"/>
      <c r="H15" s="97"/>
      <c r="I15" s="1"/>
    </row>
    <row r="16" spans="1:9" x14ac:dyDescent="0.45">
      <c r="A16" s="1"/>
      <c r="B16" s="98" t="s">
        <v>58</v>
      </c>
      <c r="C16" s="99"/>
      <c r="D16" s="99"/>
      <c r="E16" s="99"/>
      <c r="F16" s="100"/>
      <c r="G16" s="24">
        <f>(G10-G12)*(1+'Fane 12. Nøgletal'!C11)</f>
        <v>9276569.9501826335</v>
      </c>
      <c r="H16" s="14" t="s">
        <v>3</v>
      </c>
      <c r="I16" s="1"/>
    </row>
    <row r="17" spans="1:9" x14ac:dyDescent="0.45">
      <c r="A17" s="1"/>
      <c r="B17" s="98" t="s">
        <v>148</v>
      </c>
      <c r="C17" s="99"/>
      <c r="D17" s="99"/>
      <c r="E17" s="99"/>
      <c r="F17" s="100"/>
      <c r="G17" s="24">
        <v>0.40331097219862755</v>
      </c>
      <c r="H17" s="14" t="s">
        <v>3</v>
      </c>
      <c r="I17" s="1"/>
    </row>
    <row r="18" spans="1:9" x14ac:dyDescent="0.45">
      <c r="A18" s="1"/>
      <c r="B18" s="101" t="s">
        <v>59</v>
      </c>
      <c r="C18" s="102"/>
      <c r="D18" s="102"/>
      <c r="E18" s="102"/>
      <c r="F18" s="103"/>
      <c r="G18" s="24">
        <v>0</v>
      </c>
      <c r="H18" s="14" t="s">
        <v>3</v>
      </c>
      <c r="I18" s="1"/>
    </row>
    <row r="19" spans="1:9" x14ac:dyDescent="0.45">
      <c r="A19" s="1"/>
      <c r="B19" s="98" t="s">
        <v>60</v>
      </c>
      <c r="C19" s="99"/>
      <c r="D19" s="99"/>
      <c r="E19" s="99"/>
      <c r="F19" s="100"/>
      <c r="G19" s="24">
        <f>SUM(G16:G18)*'Fane 12. Nøgletal'!C27</f>
        <v>185531.4070698721</v>
      </c>
      <c r="H19" s="14" t="s">
        <v>3</v>
      </c>
      <c r="I19" s="1"/>
    </row>
    <row r="20" spans="1:9" x14ac:dyDescent="0.45">
      <c r="A20" s="1"/>
      <c r="B20" s="45"/>
      <c r="C20" s="46"/>
      <c r="D20" s="46"/>
      <c r="E20" s="46"/>
      <c r="F20" s="46"/>
      <c r="G20" s="46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5" t="s">
        <v>67</v>
      </c>
      <c r="C22" s="96"/>
      <c r="D22" s="96"/>
      <c r="E22" s="96"/>
      <c r="F22" s="96"/>
      <c r="G22" s="96"/>
      <c r="H22" s="97"/>
      <c r="I22" s="1"/>
    </row>
    <row r="23" spans="1:9" x14ac:dyDescent="0.45">
      <c r="A23" s="1"/>
      <c r="B23" s="98" t="s">
        <v>61</v>
      </c>
      <c r="C23" s="99"/>
      <c r="D23" s="99"/>
      <c r="E23" s="99"/>
      <c r="F23" s="100"/>
      <c r="G23" s="24">
        <f>(SUM(G16:G18)-G19)*(1+'Fane 12. Nøgletal'!C11)</f>
        <v>9244677.5046182945</v>
      </c>
      <c r="H23" s="14" t="s">
        <v>3</v>
      </c>
      <c r="I23" s="1"/>
    </row>
    <row r="24" spans="1:9" x14ac:dyDescent="0.45">
      <c r="A24" s="1"/>
      <c r="B24" s="101" t="s">
        <v>62</v>
      </c>
      <c r="C24" s="102"/>
      <c r="D24" s="102"/>
      <c r="E24" s="102"/>
      <c r="F24" s="103"/>
      <c r="G24" s="24">
        <v>35330.959510109999</v>
      </c>
      <c r="H24" s="14" t="s">
        <v>3</v>
      </c>
      <c r="I24" s="1"/>
    </row>
    <row r="25" spans="1:9" x14ac:dyDescent="0.45">
      <c r="A25" s="1"/>
      <c r="B25" s="98" t="s">
        <v>63</v>
      </c>
      <c r="C25" s="99"/>
      <c r="D25" s="99"/>
      <c r="E25" s="99"/>
      <c r="F25" s="100"/>
      <c r="G25" s="24">
        <f>(G23+G24)*'Fane 12. Nøgletal'!C27</f>
        <v>185600.16928256809</v>
      </c>
      <c r="H25" s="14" t="s">
        <v>3</v>
      </c>
      <c r="I25" s="1"/>
    </row>
    <row r="26" spans="1:9" x14ac:dyDescent="0.45">
      <c r="A26" s="1"/>
      <c r="B26" s="45"/>
      <c r="C26" s="46"/>
      <c r="D26" s="46"/>
      <c r="E26" s="46"/>
      <c r="F26" s="46"/>
      <c r="G26" s="46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5" t="s">
        <v>222</v>
      </c>
      <c r="C28" s="96"/>
      <c r="D28" s="96"/>
      <c r="E28" s="96"/>
      <c r="F28" s="96"/>
      <c r="G28" s="96"/>
      <c r="H28" s="97"/>
      <c r="I28" s="1"/>
    </row>
    <row r="29" spans="1:9" x14ac:dyDescent="0.45">
      <c r="A29" s="1"/>
      <c r="B29" s="98" t="s">
        <v>70</v>
      </c>
      <c r="C29" s="99"/>
      <c r="D29" s="99"/>
      <c r="E29" s="99"/>
      <c r="F29" s="100"/>
      <c r="G29" s="24">
        <f>(G23+G24-G25)*(1+'Fane 12. Nøgletal'!C13)</f>
        <v>9205360.0760429557</v>
      </c>
      <c r="H29" s="14" t="s">
        <v>3</v>
      </c>
      <c r="I29" s="1"/>
    </row>
    <row r="30" spans="1:9" x14ac:dyDescent="0.45">
      <c r="A30" s="1"/>
      <c r="B30" s="98" t="s">
        <v>187</v>
      </c>
      <c r="C30" s="99"/>
      <c r="D30" s="99"/>
      <c r="E30" s="99"/>
      <c r="F30" s="100"/>
      <c r="G30" s="24">
        <f>SUM('Fane 2.1. Økonomisk ramme 2021'!C10,'Fane 2.1. Økonomisk ramme 2021'!C12,'Fane 2.1. Økonomisk ramme 2021'!C14)*(1+'Fane 12. Nøgletal'!C13)</f>
        <v>78769.36391688</v>
      </c>
      <c r="H30" s="14" t="s">
        <v>3</v>
      </c>
      <c r="I30" s="1"/>
    </row>
    <row r="31" spans="1:9" x14ac:dyDescent="0.45">
      <c r="A31" s="1"/>
      <c r="B31" s="98" t="s">
        <v>199</v>
      </c>
      <c r="C31" s="99"/>
      <c r="D31" s="99"/>
      <c r="E31" s="99"/>
      <c r="F31" s="100"/>
      <c r="G31" s="24">
        <f>(G29+G30)*'Fane 12. Nøgletal'!C27</f>
        <v>185682.5887991967</v>
      </c>
      <c r="H31" s="14" t="s">
        <v>3</v>
      </c>
      <c r="I31" s="1"/>
    </row>
    <row r="32" spans="1:9" x14ac:dyDescent="0.45">
      <c r="A32" s="1"/>
      <c r="B32" s="45"/>
      <c r="C32" s="46"/>
      <c r="D32" s="46"/>
      <c r="E32" s="46"/>
      <c r="F32" s="46"/>
      <c r="G32" s="46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5" t="s">
        <v>223</v>
      </c>
      <c r="C34" s="96"/>
      <c r="D34" s="96"/>
      <c r="E34" s="96"/>
      <c r="F34" s="96"/>
      <c r="G34" s="96"/>
      <c r="H34" s="97"/>
      <c r="I34" s="1"/>
    </row>
    <row r="35" spans="1:9" x14ac:dyDescent="0.45">
      <c r="A35" s="1"/>
      <c r="B35" s="98" t="s">
        <v>90</v>
      </c>
      <c r="C35" s="99"/>
      <c r="D35" s="99"/>
      <c r="E35" s="99"/>
      <c r="F35" s="100"/>
      <c r="G35" s="24">
        <f>(G29+G30-G31)*(1+'Fane 12. Nøgletal'!C13)</f>
        <v>9209447.902744798</v>
      </c>
      <c r="H35" s="14" t="s">
        <v>3</v>
      </c>
      <c r="I35" s="1"/>
    </row>
    <row r="36" spans="1:9" x14ac:dyDescent="0.45">
      <c r="A36" s="1"/>
      <c r="B36" s="98" t="s">
        <v>102</v>
      </c>
      <c r="C36" s="99"/>
      <c r="D36" s="99"/>
      <c r="E36" s="99"/>
      <c r="F36" s="100"/>
      <c r="G36" s="24">
        <f>-'Fane 11. Bortfald'!C19*(1+'Fane 12. Nøgletal'!C13)</f>
        <v>0</v>
      </c>
      <c r="H36" s="14" t="s">
        <v>3</v>
      </c>
      <c r="I36" s="1"/>
    </row>
    <row r="37" spans="1:9" x14ac:dyDescent="0.45">
      <c r="A37" s="1"/>
      <c r="B37" s="98" t="s">
        <v>224</v>
      </c>
      <c r="C37" s="99"/>
      <c r="D37" s="99"/>
      <c r="E37" s="99"/>
      <c r="F37" s="100"/>
      <c r="G37" s="24">
        <f>(G35+G36)*'Fane 12. Nøgletal'!C27</f>
        <v>184188.95805489595</v>
      </c>
      <c r="H37" s="14" t="s">
        <v>3</v>
      </c>
      <c r="I37" s="1"/>
    </row>
    <row r="38" spans="1:9" x14ac:dyDescent="0.45">
      <c r="A38" s="1"/>
      <c r="B38" s="45"/>
      <c r="C38" s="46"/>
      <c r="D38" s="46"/>
      <c r="E38" s="46"/>
      <c r="F38" s="46"/>
      <c r="G38" s="46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5" t="s">
        <v>91</v>
      </c>
      <c r="C40" s="96"/>
      <c r="D40" s="96"/>
      <c r="E40" s="96"/>
      <c r="F40" s="96"/>
      <c r="G40" s="96"/>
      <c r="H40" s="97"/>
      <c r="I40" s="1"/>
    </row>
    <row r="41" spans="1:9" x14ac:dyDescent="0.45">
      <c r="A41" s="1"/>
      <c r="B41" s="98" t="s">
        <v>89</v>
      </c>
      <c r="C41" s="99"/>
      <c r="D41" s="99"/>
      <c r="E41" s="99"/>
      <c r="F41" s="100"/>
      <c r="G41" s="24">
        <f>(G35+G36-G37)*(1+'Fane 12. Nøgletal'!C13)</f>
        <v>9135367.1038151179</v>
      </c>
      <c r="H41" s="14" t="s">
        <v>3</v>
      </c>
      <c r="I41" s="1"/>
    </row>
    <row r="42" spans="1:9" x14ac:dyDescent="0.45">
      <c r="A42" s="1"/>
      <c r="B42" s="98" t="s">
        <v>103</v>
      </c>
      <c r="C42" s="99"/>
      <c r="D42" s="99"/>
      <c r="E42" s="99"/>
      <c r="F42" s="100"/>
      <c r="G42" s="24">
        <f>-'Fane 11. Bortfald'!C26*(1+'Fane 12. Nøgletal'!C13)</f>
        <v>0</v>
      </c>
      <c r="H42" s="14" t="s">
        <v>3</v>
      </c>
      <c r="I42" s="1"/>
    </row>
    <row r="43" spans="1:9" x14ac:dyDescent="0.45">
      <c r="A43" s="1"/>
      <c r="B43" s="98" t="s">
        <v>71</v>
      </c>
      <c r="C43" s="99"/>
      <c r="D43" s="99"/>
      <c r="E43" s="99"/>
      <c r="F43" s="100"/>
      <c r="G43" s="24">
        <f>(G41+G42)*'Fane 12. Nøgletal'!C27</f>
        <v>182707.34207630236</v>
      </c>
      <c r="H43" s="14" t="s">
        <v>3</v>
      </c>
      <c r="I43" s="1"/>
    </row>
    <row r="44" spans="1:9" x14ac:dyDescent="0.45">
      <c r="A44" s="1"/>
      <c r="B44" s="45"/>
      <c r="C44" s="46"/>
      <c r="D44" s="46"/>
      <c r="E44" s="46"/>
      <c r="F44" s="46"/>
      <c r="G44" s="46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5" t="s">
        <v>188</v>
      </c>
      <c r="C46" s="96"/>
      <c r="D46" s="96"/>
      <c r="E46" s="96"/>
      <c r="F46" s="96"/>
      <c r="G46" s="96"/>
      <c r="H46" s="97"/>
      <c r="I46" s="1"/>
    </row>
    <row r="47" spans="1:9" x14ac:dyDescent="0.45">
      <c r="A47" s="1"/>
      <c r="B47" s="98" t="s">
        <v>189</v>
      </c>
      <c r="C47" s="99"/>
      <c r="D47" s="99"/>
      <c r="E47" s="99"/>
      <c r="F47" s="100"/>
      <c r="G47" s="24">
        <f>(G41+G42-G43)*(1+'Fane 12. Nøgletal'!C13)</f>
        <v>9061882.2108320296</v>
      </c>
      <c r="H47" s="14" t="s">
        <v>3</v>
      </c>
      <c r="I47" s="1"/>
    </row>
    <row r="48" spans="1:9" x14ac:dyDescent="0.45">
      <c r="A48" s="1"/>
      <c r="B48" s="98" t="s">
        <v>190</v>
      </c>
      <c r="C48" s="99"/>
      <c r="D48" s="99"/>
      <c r="E48" s="99"/>
      <c r="F48" s="100"/>
      <c r="G48" s="24">
        <f>-'Fane 11. Bortfald'!C33*(1+'Fane 12. Nøgletal'!C13)</f>
        <v>0</v>
      </c>
      <c r="H48" s="14" t="s">
        <v>3</v>
      </c>
      <c r="I48" s="1"/>
    </row>
    <row r="49" spans="1:9" x14ac:dyDescent="0.45">
      <c r="A49" s="1"/>
      <c r="B49" s="98" t="s">
        <v>191</v>
      </c>
      <c r="C49" s="99"/>
      <c r="D49" s="99"/>
      <c r="E49" s="99"/>
      <c r="F49" s="100"/>
      <c r="G49" s="24">
        <f>(G47+G48)*'Fane 12. Nøgletal'!C27</f>
        <v>181237.64421664059</v>
      </c>
      <c r="H49" s="14" t="s">
        <v>3</v>
      </c>
      <c r="I49" s="1"/>
    </row>
    <row r="50" spans="1:9" x14ac:dyDescent="0.45">
      <c r="A50" s="1"/>
      <c r="B50" s="45"/>
      <c r="C50" s="46"/>
      <c r="D50" s="46"/>
      <c r="E50" s="46"/>
      <c r="F50" s="46"/>
      <c r="G50" s="46"/>
      <c r="H50" s="20"/>
      <c r="I50" s="1"/>
    </row>
  </sheetData>
  <sheetProtection algorithmName="SHA-512" hashValue="D5SALN1ZnY97Y5Z2Lo02Kmjnh0tAgDPu3VvXu2GGol6zSlbweNbpaHEQaBPEIIj5kAkdxHJ9R40ob0yEDCInQg==" saltValue="hA7i46PKqQ52abyDIB0ROg==" spinCount="100000" sheet="1" objects="1" scenarios="1"/>
  <mergeCells count="33"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  <mergeCell ref="B11:F11"/>
    <mergeCell ref="B12:F12"/>
    <mergeCell ref="B16:F16"/>
    <mergeCell ref="B18:F18"/>
    <mergeCell ref="B17:F17"/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65">
      <c r="A2" s="1"/>
      <c r="B2" s="104" t="s">
        <v>139</v>
      </c>
      <c r="C2" s="104"/>
      <c r="D2" s="104"/>
      <c r="E2" s="104"/>
      <c r="F2" s="104"/>
      <c r="G2" s="104"/>
      <c r="H2" s="104"/>
      <c r="I2" s="1"/>
    </row>
    <row r="3" spans="1:9" ht="15" customHeight="1" x14ac:dyDescent="0.55000000000000004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45">
      <c r="A4" s="1"/>
      <c r="B4" s="95" t="s">
        <v>68</v>
      </c>
      <c r="C4" s="96"/>
      <c r="D4" s="96"/>
      <c r="E4" s="96"/>
      <c r="F4" s="96"/>
      <c r="G4" s="96"/>
      <c r="H4" s="97"/>
      <c r="I4" s="1"/>
    </row>
    <row r="5" spans="1:9" x14ac:dyDescent="0.45">
      <c r="A5" s="1"/>
      <c r="B5" s="98" t="s">
        <v>72</v>
      </c>
      <c r="C5" s="99"/>
      <c r="D5" s="99"/>
      <c r="E5" s="99"/>
      <c r="F5" s="100"/>
      <c r="G5" s="24">
        <v>11786992</v>
      </c>
      <c r="H5" s="14" t="s">
        <v>3</v>
      </c>
      <c r="I5" s="1"/>
    </row>
    <row r="6" spans="1:9" x14ac:dyDescent="0.45">
      <c r="A6" s="1"/>
      <c r="B6" s="98" t="s">
        <v>69</v>
      </c>
      <c r="C6" s="99"/>
      <c r="D6" s="99"/>
      <c r="E6" s="99"/>
      <c r="F6" s="100"/>
      <c r="G6" s="24">
        <f>G5*'Fane 12. Nøgletal'!C18</f>
        <v>107261.6272</v>
      </c>
      <c r="H6" s="14" t="s">
        <v>3</v>
      </c>
      <c r="I6" s="1"/>
    </row>
    <row r="7" spans="1:9" x14ac:dyDescent="0.45">
      <c r="A7" s="1"/>
      <c r="B7" s="45"/>
      <c r="C7" s="46"/>
      <c r="D7" s="46"/>
      <c r="E7" s="46"/>
      <c r="F7" s="46"/>
      <c r="G7" s="46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5" t="s">
        <v>73</v>
      </c>
      <c r="C9" s="96"/>
      <c r="D9" s="96"/>
      <c r="E9" s="96"/>
      <c r="F9" s="96"/>
      <c r="G9" s="96"/>
      <c r="H9" s="97"/>
      <c r="I9" s="1"/>
    </row>
    <row r="10" spans="1:9" x14ac:dyDescent="0.45">
      <c r="A10" s="1"/>
      <c r="B10" s="98" t="s">
        <v>74</v>
      </c>
      <c r="C10" s="99"/>
      <c r="D10" s="99"/>
      <c r="E10" s="99"/>
      <c r="F10" s="100"/>
      <c r="G10" s="24">
        <f>(G5-G6)*(1+'Fane 12. Nøgletal'!C9)</f>
        <v>11828062.948534559</v>
      </c>
      <c r="H10" s="14" t="s">
        <v>3</v>
      </c>
      <c r="I10" s="1"/>
    </row>
    <row r="11" spans="1:9" x14ac:dyDescent="0.45">
      <c r="A11" s="1"/>
      <c r="B11" s="101" t="s">
        <v>75</v>
      </c>
      <c r="C11" s="102"/>
      <c r="D11" s="102"/>
      <c r="E11" s="102"/>
      <c r="F11" s="103"/>
      <c r="G11" s="24">
        <v>0</v>
      </c>
      <c r="H11" s="14" t="s">
        <v>3</v>
      </c>
      <c r="I11" s="1"/>
    </row>
    <row r="12" spans="1:9" x14ac:dyDescent="0.45">
      <c r="A12" s="1"/>
      <c r="B12" s="98" t="s">
        <v>76</v>
      </c>
      <c r="C12" s="99"/>
      <c r="D12" s="99"/>
      <c r="E12" s="99"/>
      <c r="F12" s="100"/>
      <c r="G12" s="24">
        <f>G10*'Fane 12. Nøgletal'!C18+G11*'Fane 12. Nøgletal'!C19</f>
        <v>107635.3728316645</v>
      </c>
      <c r="H12" s="14" t="s">
        <v>3</v>
      </c>
      <c r="I12" s="1"/>
    </row>
    <row r="13" spans="1:9" x14ac:dyDescent="0.45">
      <c r="A13" s="1"/>
      <c r="B13" s="45"/>
      <c r="C13" s="46"/>
      <c r="D13" s="46"/>
      <c r="E13" s="46"/>
      <c r="F13" s="46"/>
      <c r="G13" s="46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5" t="s">
        <v>77</v>
      </c>
      <c r="C15" s="96"/>
      <c r="D15" s="96"/>
      <c r="E15" s="96"/>
      <c r="F15" s="96"/>
      <c r="G15" s="96"/>
      <c r="H15" s="97"/>
      <c r="I15" s="1"/>
    </row>
    <row r="16" spans="1:9" x14ac:dyDescent="0.45">
      <c r="A16" s="1"/>
      <c r="B16" s="98" t="s">
        <v>78</v>
      </c>
      <c r="C16" s="99"/>
      <c r="D16" s="99"/>
      <c r="E16" s="99"/>
      <c r="F16" s="100"/>
      <c r="G16" s="24">
        <f>(G10+G11-G12)*(1+'Fane 12. Nøgletal'!C11)</f>
        <v>11918502.801732272</v>
      </c>
      <c r="H16" s="14" t="s">
        <v>3</v>
      </c>
      <c r="I16" s="1"/>
    </row>
    <row r="17" spans="1:9" x14ac:dyDescent="0.45">
      <c r="A17" s="1"/>
      <c r="B17" s="98" t="s">
        <v>149</v>
      </c>
      <c r="C17" s="99"/>
      <c r="D17" s="99"/>
      <c r="E17" s="99"/>
      <c r="F17" s="100"/>
      <c r="G17" s="24">
        <v>-204071.58693733384</v>
      </c>
      <c r="H17" s="14" t="s">
        <v>3</v>
      </c>
      <c r="I17" s="1"/>
    </row>
    <row r="18" spans="1:9" x14ac:dyDescent="0.45">
      <c r="A18" s="1"/>
      <c r="B18" s="101" t="s">
        <v>79</v>
      </c>
      <c r="C18" s="102"/>
      <c r="D18" s="102"/>
      <c r="E18" s="102"/>
      <c r="F18" s="103"/>
      <c r="G18" s="24">
        <v>61256.129279569985</v>
      </c>
      <c r="H18" s="14" t="s">
        <v>3</v>
      </c>
      <c r="I18" s="1"/>
    </row>
    <row r="19" spans="1:9" x14ac:dyDescent="0.45">
      <c r="A19" s="1"/>
      <c r="B19" s="98" t="s">
        <v>80</v>
      </c>
      <c r="C19" s="99"/>
      <c r="D19" s="99"/>
      <c r="E19" s="99"/>
      <c r="F19" s="100"/>
      <c r="G19" s="24">
        <f>SUM(G16:G18)*'Fane 12. Nøgletal'!C20</f>
        <v>102448.47989344821</v>
      </c>
      <c r="H19" s="14" t="s">
        <v>3</v>
      </c>
      <c r="I19" s="1"/>
    </row>
    <row r="20" spans="1:9" x14ac:dyDescent="0.45">
      <c r="A20" s="1"/>
      <c r="B20" s="45"/>
      <c r="C20" s="46"/>
      <c r="D20" s="46"/>
      <c r="E20" s="46"/>
      <c r="F20" s="46"/>
      <c r="G20" s="46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5" t="s">
        <v>81</v>
      </c>
      <c r="C22" s="96"/>
      <c r="D22" s="96"/>
      <c r="E22" s="96"/>
      <c r="F22" s="96"/>
      <c r="G22" s="96"/>
      <c r="H22" s="97"/>
      <c r="I22" s="1"/>
    </row>
    <row r="23" spans="1:9" x14ac:dyDescent="0.45">
      <c r="A23" s="1"/>
      <c r="B23" s="98" t="s">
        <v>82</v>
      </c>
      <c r="C23" s="99"/>
      <c r="D23" s="99"/>
      <c r="E23" s="99"/>
      <c r="F23" s="100"/>
      <c r="G23" s="24">
        <f>(SUM(G16:G18)-G19)*(1+'Fane 12. Nøgletal'!C11)</f>
        <v>11870516.600985719</v>
      </c>
      <c r="H23" s="14" t="s">
        <v>3</v>
      </c>
      <c r="I23" s="1"/>
    </row>
    <row r="24" spans="1:9" x14ac:dyDescent="0.45">
      <c r="A24" s="1"/>
      <c r="B24" s="101" t="s">
        <v>83</v>
      </c>
      <c r="C24" s="102"/>
      <c r="D24" s="102"/>
      <c r="E24" s="102"/>
      <c r="F24" s="103"/>
      <c r="G24" s="24">
        <v>125474.34818457002</v>
      </c>
      <c r="H24" s="14" t="s">
        <v>3</v>
      </c>
      <c r="I24" s="1"/>
    </row>
    <row r="25" spans="1:9" x14ac:dyDescent="0.45">
      <c r="A25" s="1"/>
      <c r="B25" s="98" t="s">
        <v>84</v>
      </c>
      <c r="C25" s="99"/>
      <c r="D25" s="99"/>
      <c r="E25" s="99"/>
      <c r="F25" s="100"/>
      <c r="G25" s="24">
        <f>G23*'Fane 12. Nøgletal'!C20+G24*'Fane 12. Nøgletal'!C21</f>
        <v>106836.96591701754</v>
      </c>
      <c r="H25" s="14" t="s">
        <v>3</v>
      </c>
      <c r="I25" s="1"/>
    </row>
    <row r="26" spans="1:9" x14ac:dyDescent="0.45">
      <c r="A26" s="1"/>
      <c r="B26" s="45"/>
      <c r="C26" s="46"/>
      <c r="D26" s="46"/>
      <c r="E26" s="46"/>
      <c r="F26" s="46"/>
      <c r="G26" s="46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5" t="s">
        <v>220</v>
      </c>
      <c r="C28" s="96"/>
      <c r="D28" s="96"/>
      <c r="E28" s="96"/>
      <c r="F28" s="96"/>
      <c r="G28" s="96"/>
      <c r="H28" s="97"/>
      <c r="I28" s="1"/>
    </row>
    <row r="29" spans="1:9" x14ac:dyDescent="0.45">
      <c r="A29" s="1"/>
      <c r="B29" s="98" t="s">
        <v>85</v>
      </c>
      <c r="C29" s="99"/>
      <c r="D29" s="99"/>
      <c r="E29" s="99"/>
      <c r="F29" s="100"/>
      <c r="G29" s="24">
        <f>(G23+G24-G25)*(1+'Fane 12. Nøgletal'!C13)</f>
        <v>12034201.661848962</v>
      </c>
      <c r="H29" s="14" t="s">
        <v>3</v>
      </c>
      <c r="I29" s="1"/>
    </row>
    <row r="30" spans="1:9" x14ac:dyDescent="0.45">
      <c r="A30" s="1"/>
      <c r="B30" s="98" t="s">
        <v>192</v>
      </c>
      <c r="C30" s="99"/>
      <c r="D30" s="99"/>
      <c r="E30" s="99"/>
      <c r="F30" s="100"/>
      <c r="G30" s="24">
        <f>SUM('Fane 2.1. Økonomisk ramme 2021'!C11,'Fane 2.1. Økonomisk ramme 2021'!C13,'Fane 2.1. Økonomisk ramme 2021'!C15)*(1+'Fane 12. Nøgletal'!C13)</f>
        <v>3938444.7814878426</v>
      </c>
      <c r="H30" s="14" t="s">
        <v>3</v>
      </c>
      <c r="I30" s="1"/>
    </row>
    <row r="31" spans="1:9" x14ac:dyDescent="0.45">
      <c r="A31" s="1"/>
      <c r="B31" s="98" t="s">
        <v>221</v>
      </c>
      <c r="C31" s="99"/>
      <c r="D31" s="99"/>
      <c r="E31" s="99"/>
      <c r="F31" s="100"/>
      <c r="G31" s="24">
        <f>(G29+G30)*'Fane 12. Nøgletal'!C22</f>
        <v>439247.77719176217</v>
      </c>
      <c r="H31" s="14" t="s">
        <v>3</v>
      </c>
      <c r="I31" s="1"/>
    </row>
    <row r="32" spans="1:9" x14ac:dyDescent="0.45">
      <c r="A32" s="1"/>
      <c r="B32" s="45"/>
      <c r="C32" s="46"/>
      <c r="D32" s="46"/>
      <c r="E32" s="46"/>
      <c r="F32" s="46"/>
      <c r="G32" s="46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5" t="s">
        <v>225</v>
      </c>
      <c r="C34" s="96"/>
      <c r="D34" s="96"/>
      <c r="E34" s="96"/>
      <c r="F34" s="96"/>
      <c r="G34" s="96"/>
      <c r="H34" s="97"/>
      <c r="I34" s="1"/>
    </row>
    <row r="35" spans="1:9" x14ac:dyDescent="0.45">
      <c r="A35" s="1"/>
      <c r="B35" s="98" t="s">
        <v>88</v>
      </c>
      <c r="C35" s="99"/>
      <c r="D35" s="99"/>
      <c r="E35" s="99"/>
      <c r="F35" s="100"/>
      <c r="G35" s="24">
        <f>(G29+G30-G31)*(1+'Fane 12. Nøgletal'!C13)</f>
        <v>15722906.129872013</v>
      </c>
      <c r="H35" s="14" t="s">
        <v>3</v>
      </c>
      <c r="I35" s="1"/>
    </row>
    <row r="36" spans="1:9" x14ac:dyDescent="0.45">
      <c r="A36" s="1"/>
      <c r="B36" s="98" t="s">
        <v>107</v>
      </c>
      <c r="C36" s="99"/>
      <c r="D36" s="99"/>
      <c r="E36" s="99"/>
      <c r="F36" s="100"/>
      <c r="G36" s="24">
        <f>-'Fane 11. Bortfald'!E19*(1+'Fane 12. Nøgletal'!C13)</f>
        <v>0</v>
      </c>
      <c r="H36" s="14" t="s">
        <v>3</v>
      </c>
      <c r="I36" s="1"/>
    </row>
    <row r="37" spans="1:9" x14ac:dyDescent="0.45">
      <c r="A37" s="1"/>
      <c r="B37" s="98" t="s">
        <v>226</v>
      </c>
      <c r="C37" s="99"/>
      <c r="D37" s="99"/>
      <c r="E37" s="99"/>
      <c r="F37" s="100"/>
      <c r="G37" s="24">
        <f>(G35+G36)*'Fane 12. Nøgletal'!C22</f>
        <v>432379.91857148038</v>
      </c>
      <c r="H37" s="14" t="s">
        <v>3</v>
      </c>
      <c r="I37" s="1"/>
    </row>
    <row r="38" spans="1:9" x14ac:dyDescent="0.45">
      <c r="A38" s="1"/>
      <c r="B38" s="45"/>
      <c r="C38" s="46"/>
      <c r="D38" s="46"/>
      <c r="E38" s="46"/>
      <c r="F38" s="46"/>
      <c r="G38" s="46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5" t="s">
        <v>92</v>
      </c>
      <c r="C40" s="96"/>
      <c r="D40" s="96"/>
      <c r="E40" s="96"/>
      <c r="F40" s="96"/>
      <c r="G40" s="96"/>
      <c r="H40" s="97"/>
      <c r="I40" s="1"/>
    </row>
    <row r="41" spans="1:9" x14ac:dyDescent="0.45">
      <c r="A41" s="1"/>
      <c r="B41" s="98" t="s">
        <v>87</v>
      </c>
      <c r="C41" s="99"/>
      <c r="D41" s="99"/>
      <c r="E41" s="99"/>
      <c r="F41" s="100"/>
      <c r="G41" s="24">
        <f>(G35+G36-G37)*(1+'Fane 12. Nøgletal'!C13)</f>
        <v>15477070.6310784</v>
      </c>
      <c r="H41" s="14" t="s">
        <v>3</v>
      </c>
      <c r="I41" s="1"/>
    </row>
    <row r="42" spans="1:9" x14ac:dyDescent="0.45">
      <c r="A42" s="1"/>
      <c r="B42" s="98" t="s">
        <v>108</v>
      </c>
      <c r="C42" s="99"/>
      <c r="D42" s="99"/>
      <c r="E42" s="99"/>
      <c r="F42" s="100"/>
      <c r="G42" s="24">
        <f>-'Fane 11. Bortfald'!E26*(1+'Fane 12. Nøgletal'!C13)</f>
        <v>0</v>
      </c>
      <c r="H42" s="14" t="s">
        <v>3</v>
      </c>
      <c r="I42" s="1"/>
    </row>
    <row r="43" spans="1:9" x14ac:dyDescent="0.45">
      <c r="A43" s="1"/>
      <c r="B43" s="98" t="s">
        <v>86</v>
      </c>
      <c r="C43" s="99"/>
      <c r="D43" s="99"/>
      <c r="E43" s="99"/>
      <c r="F43" s="100"/>
      <c r="G43" s="24">
        <f>(G41+G42)*'Fane 12. Nøgletal'!C22</f>
        <v>425619.442354656</v>
      </c>
      <c r="H43" s="14" t="s">
        <v>3</v>
      </c>
      <c r="I43" s="1"/>
    </row>
    <row r="44" spans="1:9" x14ac:dyDescent="0.45">
      <c r="A44" s="1"/>
      <c r="B44" s="45"/>
      <c r="C44" s="46"/>
      <c r="D44" s="46"/>
      <c r="E44" s="46"/>
      <c r="F44" s="46"/>
      <c r="G44" s="46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5" t="s">
        <v>193</v>
      </c>
      <c r="C46" s="96"/>
      <c r="D46" s="96"/>
      <c r="E46" s="96"/>
      <c r="F46" s="96"/>
      <c r="G46" s="96"/>
      <c r="H46" s="97"/>
      <c r="I46" s="1"/>
    </row>
    <row r="47" spans="1:9" x14ac:dyDescent="0.45">
      <c r="A47" s="1"/>
      <c r="B47" s="98" t="s">
        <v>194</v>
      </c>
      <c r="C47" s="99"/>
      <c r="D47" s="99"/>
      <c r="E47" s="99"/>
      <c r="F47" s="100"/>
      <c r="G47" s="24">
        <f>(G41+G42-G43)*(1+'Fane 12. Nøgletal'!C13)</f>
        <v>15235078.893226173</v>
      </c>
      <c r="H47" s="14" t="s">
        <v>3</v>
      </c>
      <c r="I47" s="1"/>
    </row>
    <row r="48" spans="1:9" x14ac:dyDescent="0.45">
      <c r="A48" s="1"/>
      <c r="B48" s="98" t="s">
        <v>195</v>
      </c>
      <c r="C48" s="99"/>
      <c r="D48" s="99"/>
      <c r="E48" s="99"/>
      <c r="F48" s="100"/>
      <c r="G48" s="24">
        <f>-'Fane 11. Bortfald'!E33*(1+'Fane 12. Nøgletal'!C13)</f>
        <v>0</v>
      </c>
      <c r="H48" s="14" t="s">
        <v>3</v>
      </c>
      <c r="I48" s="1"/>
    </row>
    <row r="49" spans="1:9" x14ac:dyDescent="0.45">
      <c r="A49" s="1"/>
      <c r="B49" s="98" t="s">
        <v>196</v>
      </c>
      <c r="C49" s="99"/>
      <c r="D49" s="99"/>
      <c r="E49" s="99"/>
      <c r="F49" s="100"/>
      <c r="G49" s="24">
        <f>(G47+G48)*'Fane 12. Nøgletal'!C22</f>
        <v>418964.66956371977</v>
      </c>
      <c r="H49" s="14" t="s">
        <v>3</v>
      </c>
      <c r="I49" s="1"/>
    </row>
    <row r="50" spans="1:9" x14ac:dyDescent="0.45">
      <c r="A50" s="1"/>
      <c r="B50" s="45"/>
      <c r="C50" s="46"/>
      <c r="D50" s="46"/>
      <c r="E50" s="46"/>
      <c r="F50" s="46"/>
      <c r="G50" s="46"/>
      <c r="H50" s="20"/>
      <c r="I50" s="1"/>
    </row>
  </sheetData>
  <sheetProtection algorithmName="SHA-512" hashValue="GVD6np572eFqb5wpPFns+WrVnA+9bWkqpgVbeMkWpgIUm3jjruTeKqYjhsUB4znrPPDuSYGsfi1pixxAiGHDbg==" saltValue="1o3JsTsBMKp5HOz7o5/HQA==" spinCount="100000" sheet="1" objects="1" scenarios="1"/>
  <mergeCells count="33">
    <mergeCell ref="B28:H28"/>
    <mergeCell ref="B29:F29"/>
    <mergeCell ref="B31:F31"/>
    <mergeCell ref="B34:H34"/>
    <mergeCell ref="B22:H22"/>
    <mergeCell ref="B23:F23"/>
    <mergeCell ref="B24:F24"/>
    <mergeCell ref="B25:F25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101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9</v>
      </c>
      <c r="C8" s="96"/>
      <c r="D8" s="96"/>
      <c r="E8" s="96"/>
      <c r="F8" s="96"/>
      <c r="G8" s="96"/>
      <c r="H8" s="97"/>
      <c r="I8" s="1"/>
    </row>
    <row r="9" spans="1:9" x14ac:dyDescent="0.45">
      <c r="A9" s="1"/>
      <c r="B9" s="98" t="s">
        <v>124</v>
      </c>
      <c r="C9" s="99"/>
      <c r="D9" s="99"/>
      <c r="E9" s="99"/>
      <c r="F9" s="100"/>
      <c r="G9" s="23">
        <v>1.8271243353713423E-2</v>
      </c>
      <c r="H9" s="14"/>
      <c r="I9" s="1"/>
    </row>
    <row r="10" spans="1:9" x14ac:dyDescent="0.45">
      <c r="A10" s="1"/>
      <c r="B10" s="98" t="s">
        <v>181</v>
      </c>
      <c r="C10" s="99"/>
      <c r="D10" s="99"/>
      <c r="E10" s="99"/>
      <c r="F10" s="100"/>
      <c r="G10" s="23">
        <v>1.2623750625136114E-2</v>
      </c>
      <c r="H10" s="14"/>
      <c r="I10" s="1"/>
    </row>
    <row r="11" spans="1:9" x14ac:dyDescent="0.45">
      <c r="A11" s="1"/>
      <c r="B11" s="45"/>
      <c r="C11" s="46"/>
      <c r="D11" s="46"/>
      <c r="E11" s="46"/>
      <c r="F11" s="46"/>
      <c r="G11" s="46"/>
      <c r="H11" s="20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45">
      <c r="A13" s="18"/>
      <c r="B13" s="105" t="s">
        <v>227</v>
      </c>
      <c r="C13" s="105"/>
      <c r="D13" s="105"/>
      <c r="E13" s="105"/>
      <c r="F13" s="105"/>
      <c r="G13" s="105"/>
      <c r="H13" s="105"/>
      <c r="I13" s="18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g9PdpMwEdbPx+rpJc3yaBhaNB5Dsl/aFPOABYRIvC6QmFHBRV6tsY9ThFwbHbupZCDYfv/P2khMBlt0ToySdqQ==" saltValue="lgk7M2YhTR+HbkStSJ899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2020-10-20T07:48:00Z</dcterms:modified>
</cp:coreProperties>
</file>