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Egedal AS (S013)\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C16" i="15" l="1"/>
  <c r="C20" i="23" l="1"/>
  <c r="C20" i="22"/>
  <c r="C20" i="15"/>
  <c r="C32" i="2"/>
  <c r="E24" i="32" l="1"/>
  <c r="E32" i="32" s="1"/>
  <c r="E34" i="32" s="1"/>
  <c r="E28" i="32" l="1"/>
  <c r="C14"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<sst xmlns="http://schemas.openxmlformats.org/spreadsheetml/2006/main" count="607" uniqueCount="289">
  <si>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</si>
  <si>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</si>
  <si>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</si>
  <si>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</si>
  <si>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</si>
  <si>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</si>
  <si>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</si>
  <si>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</si>
  <si>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</si>
  <si>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</si>
  <si>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</si>
  <si>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</si>
  <si>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</si>
  <si>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</si>
  <si>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</si>
  <si>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</si>
  <si>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</si>
  <si>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</si>
  <si>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</si>
  <si>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</si>
  <si>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</si>
  <si>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</si>
  <si>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</si>
  <si>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</si>
  <si>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</si>
  <si>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</si>
  <si>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</si>
  <si>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</si>
  <si>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</si>
  <si>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</si>
  <si>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</si>
  <si>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</si>
  <si>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</si>
  <si>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</si>
  <si>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</si>
  <si>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</si>
  <si>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</si>
  <si>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</si>
  <si>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</si>
  <si>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</si>
  <si>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</si>
  <si>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</si>
  <si>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</si>
  <si>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</si>
  <si>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</si>
  <si>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</si>
  <si>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</si>
  <si>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</si>
  <si>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</si>
  <si>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</si>
  <si>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</si>
  <si>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</si>
  <si>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</si>
  <si>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</si>
  <si>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</si>
  <si>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</si>
  <si>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</si>
  <si>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</si>
  <si>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</si>
  <si>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</si>
  <si>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</si>
  <si>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</si>
  <si>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</si>
  <si>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</si>
  <si>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</si>
  <si>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</si>
  <si>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</si>
  <si>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</si>
  <si>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</si>
  <si>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</si>
  <si>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</si>
  <si>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</si>
  <si>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</si>
  <si>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</si>
  <si>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</si>
  <si>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</si>
  <si>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</si>
  <si>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</si>
  <si>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</si>
  <si>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</si>
  <si>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</si>
  <si>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</si>
  <si>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</si>
  <si>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</si>
  <si>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</si>
  <si>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</si>
  <si>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</si>
  <si>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</si>
  <si>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</si>
  <si>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</si>
  <si>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</si>
  <si>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</si>
  <si>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</si>
  <si>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</si>
  <si>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</si>
  <si>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</si>
  <si>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</si>
  <si>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</si>
  <si>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</si>
  <si>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</si>
  <si>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</si>
  <si>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</si>
  <si>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</si>
  <si>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</si>
  <si>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</si>
  <si>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</si>
  <si>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</si>
  <si>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</si>
  <si>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</si>
  <si>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</si>
  <si>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</si>
  <si>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</si>
  <si>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</si>
  <si>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</si>
  <si>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</si>
  <si>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</si>
  <si>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</si>
  <si>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</si>
  <si>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</si>
  <si>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</si>
  <si>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</si>
  <si>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</si>
  <si>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</si>
  <si>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</si>
  <si>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</si>
  <si>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</si>
  <si>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</si>
  <si>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</si>
  <si>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</si>
  <si>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</si>
  <si>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</si>
  <si>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</si>
  <si>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</si>
  <si>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</si>
  <si>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</si>
  <si>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</si>
  <si>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</si>
  <si>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</si>
  <si>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</si>
  <si>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</si>
  <si>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</si>
  <si>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</si>
  <si>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</si>
  <si>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</si>
  <si>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</si>
  <si>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</si>
  <si>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</si>
  <si>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</si>
  <si>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</si>
  <si>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</si>
  <si>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</si>
  <si>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</si>
  <si>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</si>
  <si>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</si>
  <si>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</si>
  <si>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</si>
  <si>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</si>
  <si>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</si>
  <si>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</si>
  <si>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</si>
  <si>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</si>
  <si>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</si>
  <si>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</si>
  <si>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</si>
  <si>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</si>
  <si>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</si>
  <si>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</si>
  <si>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</si>
  <si>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</si>
  <si>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</si>
  <si>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</si>
  <si>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</si>
  <si>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</si>
  <si>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</si>
  <si>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</si>
  <si>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</si>
  <si>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</si>
  <si>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</si>
  <si>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</si>
  <si>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</si>
  <si>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</si>
  <si>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</si>
  <si>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</si>
  <si>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</si>
  <si>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</si>
  <si>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</si>
  <si>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</si>
  <si>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</si>
  <si>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</si>
  <si>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</si>
  <si>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</si>
  <si>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</si>
  <si>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</si>
  <si>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</si>
  <si>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</si>
  <si>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</si>
  <si>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</si>
  <si>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</si>
  <si>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</si>
  <si>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</si>
  <si>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</si>
  <si>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</si>
  <si>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</si>
  <si>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</si>
  <si>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</si>
  <si>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</si>
  <si>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</si>
  <si>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</si>
  <si>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</si>
  <si>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</si>
  <si>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</si>
  <si>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</si>
  <si>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</si>
  <si>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</si>
  <si>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</si>
  <si>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</si>
  <si>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</si>
  <si>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</si>
  <si>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</si>
  <si>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</si>
  <si>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</si>
  <si>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</si>
  <si>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</si>
  <si>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</si>
  <si>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</si>
  <si>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</si>
  <si>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</si>
  <si>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</si>
  <si>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</si>
  <si>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</si>
  <si>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</si>
  <si>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</si>
  <si>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</si>
  <si>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</si>
  <si>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</si>
  <si>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</si>
  <si>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</si>
  <si>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</si>
  <si>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</si>
  <si>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</si>
  <si>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</si>
  <si>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</si>
  <si>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</si>
  <si>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</si>
  <si>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</si>
  <si>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</si>
  <si>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</si>
  <si>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</si>
  <si>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</si>
  <si>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</si>
  <si>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</si>
  <si>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</si>
  <si>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</si>
  <si>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</si>
  <si>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</si>
  <si>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</si>
  <si>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</si>
  <si>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</si>
  <si>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</si>
  <si>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</si>
  <si>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</si>
  <si>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</si>
  <si>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</si>
  <si>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</si>
  <si>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</si>
  <si>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</si>
  <si>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</si>
  <si>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</si>
  <si>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</si>
  <si>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Resultat af kontrol med overholdelse af den økonomiske ramme for 2021</t>
  </si>
  <si>
    <t>Ingen tilknyttet virksomhed under hovedvirksomheden</t>
  </si>
  <si>
    <t>Nye tilslutninger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</si>
  <si>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</si>
  <si>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</si>
  <si>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</si>
  <si>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</si>
  <si>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</si>
  <si>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</si>
  <si>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</si>
  <si>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</si>
  <si>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</si>
  <si>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Ingen engangstillæg</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</si>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</sst>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8" borderId="3"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0" t="s">
        <v>4</v>
      </c>
      <c r="E6" s="110"/>
      <c r="F6" s="110"/>
      <c r="G6" s="110"/>
      <c r="H6" s="3"/>
      <c r="I6" s="1"/>
    </row>
    <row r="7" spans="1:9" ht="15" customHeight="1" x14ac:dyDescent="0.25">
      <c r="A7" s="1"/>
      <c r="B7" s="1"/>
      <c r="C7" s="3"/>
      <c r="D7" s="110"/>
      <c r="E7" s="110"/>
      <c r="F7" s="110"/>
      <c r="G7" s="110"/>
      <c r="H7" s="3"/>
      <c r="I7" s="1"/>
    </row>
    <row r="8" spans="1:9" ht="15.75" x14ac:dyDescent="0.25">
      <c r="A8" s="1"/>
      <c r="B8" s="1"/>
      <c r="C8" s="4"/>
      <c r="D8" s="115" t="s">
        <v>225</v>
      </c>
      <c r="E8" s="115"/>
      <c r="F8" s="115"/>
      <c r="G8" s="11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4" t="s">
        <v>5</v>
      </c>
      <c r="E11" s="114"/>
      <c r="F11" s="114"/>
      <c r="G11" s="114"/>
      <c r="H11" s="5"/>
      <c r="I11" s="1"/>
    </row>
    <row r="12" spans="1:9" x14ac:dyDescent="0.25">
      <c r="A12" s="1"/>
      <c r="B12" s="1"/>
      <c r="C12" s="1"/>
      <c r="D12" s="1"/>
      <c r="E12" s="1"/>
      <c r="F12" s="1"/>
      <c r="G12" s="1"/>
      <c r="H12" s="5"/>
      <c r="I12" s="1"/>
    </row>
    <row r="13" spans="1:9" x14ac:dyDescent="0.25">
      <c r="A13" s="1"/>
      <c r="B13" s="1"/>
      <c r="C13" s="6" t="s">
        <v>6</v>
      </c>
      <c r="D13" s="116" t="s">
        <v>169</v>
      </c>
      <c r="E13" s="117"/>
      <c r="F13" s="117"/>
      <c r="G13" s="118"/>
      <c r="H13" s="5"/>
      <c r="I13" s="1"/>
    </row>
    <row r="14" spans="1:9" x14ac:dyDescent="0.25">
      <c r="A14" s="1"/>
      <c r="B14" s="1"/>
      <c r="C14" s="6" t="s">
        <v>16</v>
      </c>
      <c r="D14" s="107" t="s">
        <v>235</v>
      </c>
      <c r="E14" s="108"/>
      <c r="F14" s="108"/>
      <c r="G14" s="109"/>
      <c r="H14" s="5"/>
      <c r="I14" s="1"/>
    </row>
    <row r="15" spans="1:9" x14ac:dyDescent="0.25">
      <c r="A15" s="1"/>
      <c r="B15" s="1"/>
      <c r="C15" s="6" t="s">
        <v>34</v>
      </c>
      <c r="D15" s="107" t="s">
        <v>170</v>
      </c>
      <c r="E15" s="108"/>
      <c r="F15" s="108"/>
      <c r="G15" s="109"/>
      <c r="H15" s="5"/>
      <c r="I15" s="1"/>
    </row>
    <row r="16" spans="1:9" x14ac:dyDescent="0.25">
      <c r="A16" s="1"/>
      <c r="B16" s="1"/>
      <c r="C16" s="6" t="s">
        <v>35</v>
      </c>
      <c r="D16" s="107" t="s">
        <v>182</v>
      </c>
      <c r="E16" s="108"/>
      <c r="F16" s="108"/>
      <c r="G16" s="109"/>
      <c r="H16" s="5"/>
      <c r="I16" s="1"/>
    </row>
    <row r="17" spans="1:9" x14ac:dyDescent="0.25">
      <c r="A17" s="1"/>
      <c r="B17" s="1"/>
      <c r="C17" s="6" t="s">
        <v>119</v>
      </c>
      <c r="D17" s="107" t="s">
        <v>183</v>
      </c>
      <c r="E17" s="108"/>
      <c r="F17" s="108"/>
      <c r="G17" s="109"/>
      <c r="H17" s="5"/>
      <c r="I17" s="1"/>
    </row>
    <row r="18" spans="1:9" x14ac:dyDescent="0.25">
      <c r="A18" s="1"/>
      <c r="B18" s="1"/>
      <c r="C18" s="6" t="s">
        <v>106</v>
      </c>
      <c r="D18" s="104" t="s">
        <v>95</v>
      </c>
      <c r="E18" s="105"/>
      <c r="F18" s="105"/>
      <c r="G18" s="106"/>
      <c r="H18" s="5"/>
      <c r="I18" s="1"/>
    </row>
    <row r="19" spans="1:9" x14ac:dyDescent="0.25">
      <c r="A19" s="1"/>
      <c r="B19" s="1"/>
      <c r="C19" s="6" t="s">
        <v>107</v>
      </c>
      <c r="D19" s="104" t="s">
        <v>96</v>
      </c>
      <c r="E19" s="105"/>
      <c r="F19" s="105"/>
      <c r="G19" s="106"/>
      <c r="H19" s="5"/>
      <c r="I19" s="1"/>
    </row>
    <row r="20" spans="1:9" x14ac:dyDescent="0.25">
      <c r="A20" s="1"/>
      <c r="B20" s="1"/>
      <c r="C20" s="6" t="s">
        <v>7</v>
      </c>
      <c r="D20" s="104" t="s">
        <v>10</v>
      </c>
      <c r="E20" s="105"/>
      <c r="F20" s="105"/>
      <c r="G20" s="106"/>
      <c r="H20" s="5"/>
      <c r="I20" s="1"/>
    </row>
    <row r="21" spans="1:9" x14ac:dyDescent="0.25">
      <c r="A21" s="1"/>
      <c r="B21" s="1"/>
      <c r="C21" s="6" t="s">
        <v>108</v>
      </c>
      <c r="D21" s="111" t="s">
        <v>12</v>
      </c>
      <c r="E21" s="112"/>
      <c r="F21" s="112"/>
      <c r="G21" s="113"/>
      <c r="H21" s="5"/>
      <c r="I21" s="1"/>
    </row>
    <row r="22" spans="1:9" x14ac:dyDescent="0.25">
      <c r="A22" s="1"/>
      <c r="B22" s="1"/>
      <c r="C22" s="6" t="s">
        <v>83</v>
      </c>
      <c r="D22" s="98" t="s">
        <v>184</v>
      </c>
      <c r="E22" s="99"/>
      <c r="F22" s="99"/>
      <c r="G22" s="100"/>
      <c r="H22" s="5"/>
      <c r="I22" s="1"/>
    </row>
    <row r="23" spans="1:9" x14ac:dyDescent="0.25">
      <c r="A23" s="1"/>
      <c r="B23" s="1"/>
      <c r="C23" s="6" t="s">
        <v>8</v>
      </c>
      <c r="D23" s="98" t="s">
        <v>253</v>
      </c>
      <c r="E23" s="99"/>
      <c r="F23" s="99"/>
      <c r="G23" s="100"/>
      <c r="H23" s="5"/>
      <c r="I23" s="1"/>
    </row>
    <row r="24" spans="1:9" x14ac:dyDescent="0.25">
      <c r="A24" s="1"/>
      <c r="B24" s="1"/>
      <c r="C24" s="6" t="s">
        <v>9</v>
      </c>
      <c r="D24" s="98" t="s">
        <v>185</v>
      </c>
      <c r="E24" s="99"/>
      <c r="F24" s="99"/>
      <c r="G24" s="100"/>
      <c r="H24" s="5"/>
      <c r="I24" s="1"/>
    </row>
    <row r="25" spans="1:9" x14ac:dyDescent="0.25">
      <c r="A25" s="1"/>
      <c r="B25" s="1"/>
      <c r="C25" s="6" t="s">
        <v>246</v>
      </c>
      <c r="D25" s="98" t="s">
        <v>237</v>
      </c>
      <c r="E25" s="99"/>
      <c r="F25" s="99"/>
      <c r="G25" s="100"/>
      <c r="H25" s="1"/>
      <c r="I25" s="1"/>
    </row>
    <row r="26" spans="1:9" x14ac:dyDescent="0.25">
      <c r="A26" s="1"/>
      <c r="B26" s="1"/>
      <c r="C26" s="6" t="s">
        <v>247</v>
      </c>
      <c r="D26" s="98" t="s">
        <v>84</v>
      </c>
      <c r="E26" s="99"/>
      <c r="F26" s="99"/>
      <c r="G26" s="100"/>
      <c r="H26" s="1"/>
      <c r="I26" s="1"/>
    </row>
    <row r="27" spans="1:9" x14ac:dyDescent="0.25">
      <c r="A27" s="1"/>
      <c r="B27" s="1"/>
      <c r="C27" s="6" t="s">
        <v>248</v>
      </c>
      <c r="D27" s="98" t="s">
        <v>85</v>
      </c>
      <c r="E27" s="99"/>
      <c r="F27" s="99"/>
      <c r="G27" s="100"/>
      <c r="H27" s="1"/>
      <c r="I27" s="1"/>
    </row>
    <row r="28" spans="1:9" x14ac:dyDescent="0.25">
      <c r="A28" s="1"/>
      <c r="B28" s="1"/>
      <c r="C28" s="6" t="s">
        <v>15</v>
      </c>
      <c r="D28" s="98" t="s">
        <v>86</v>
      </c>
      <c r="E28" s="99"/>
      <c r="F28" s="99"/>
      <c r="G28" s="100"/>
      <c r="H28" s="1"/>
      <c r="I28" s="1"/>
    </row>
    <row r="29" spans="1:9" x14ac:dyDescent="0.25">
      <c r="A29" s="1"/>
      <c r="B29" s="1"/>
      <c r="C29" s="6" t="s">
        <v>37</v>
      </c>
      <c r="D29" s="98" t="s">
        <v>134</v>
      </c>
      <c r="E29" s="99"/>
      <c r="F29" s="99"/>
      <c r="G29" s="100"/>
      <c r="H29" s="1"/>
      <c r="I29" s="1"/>
    </row>
    <row r="30" spans="1:9" x14ac:dyDescent="0.25">
      <c r="A30" s="1"/>
      <c r="B30" s="1"/>
      <c r="C30" s="6" t="s">
        <v>38</v>
      </c>
      <c r="D30" s="98" t="s">
        <v>36</v>
      </c>
      <c r="E30" s="99"/>
      <c r="F30" s="99"/>
      <c r="G30" s="100"/>
      <c r="H30" s="1"/>
      <c r="I30" s="1"/>
    </row>
    <row r="31" spans="1:9" x14ac:dyDescent="0.25">
      <c r="A31" s="1"/>
      <c r="B31" s="1"/>
      <c r="C31" s="6" t="s">
        <v>249</v>
      </c>
      <c r="D31" s="101" t="s">
        <v>105</v>
      </c>
      <c r="E31" s="102"/>
      <c r="F31" s="102"/>
      <c r="G31" s="10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kR91FTQMxpqQmMaS6CZc27yxuEELJ5rIi9/+yffb5UZ6tMu5g87bN7s3Pf3nBpSzslzEuHd/o2MhmOIGR+zOQ==" saltValue="Naf+IkfljlAS9bGon/bZgQ=="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362420</v>
      </c>
      <c r="D10" s="14" t="s">
        <v>3</v>
      </c>
      <c r="E10" s="1"/>
      <c r="F10" s="1"/>
    </row>
    <row r="11" spans="1:6" x14ac:dyDescent="0.25">
      <c r="A11" s="1"/>
      <c r="B11" s="94" t="s">
        <v>266</v>
      </c>
      <c r="C11" s="9">
        <v>94737</v>
      </c>
      <c r="D11" s="14" t="s">
        <v>3</v>
      </c>
      <c r="E11" s="1"/>
      <c r="F11" s="1"/>
    </row>
    <row r="12" spans="1:6" x14ac:dyDescent="0.25">
      <c r="A12" s="1"/>
      <c r="B12" s="94" t="s">
        <v>267</v>
      </c>
      <c r="C12" s="9">
        <v>4769925</v>
      </c>
      <c r="D12" s="14" t="s">
        <v>3</v>
      </c>
      <c r="E12" s="1"/>
      <c r="F12" s="1"/>
    </row>
    <row r="13" spans="1:6" x14ac:dyDescent="0.25">
      <c r="A13" s="1"/>
      <c r="B13" s="94" t="s">
        <v>268</v>
      </c>
      <c r="C13" s="9">
        <v>18196</v>
      </c>
      <c r="D13" s="14" t="s">
        <v>3</v>
      </c>
      <c r="E13" s="1"/>
      <c r="F13" s="1"/>
    </row>
    <row r="14" spans="1:6" x14ac:dyDescent="0.25">
      <c r="A14" s="1"/>
      <c r="B14" s="32" t="s">
        <v>200</v>
      </c>
      <c r="C14" s="12">
        <f>SUM(C10:C13)</f>
        <v>5245278</v>
      </c>
      <c r="D14" s="13" t="s">
        <v>3</v>
      </c>
      <c r="E14" s="1"/>
      <c r="F14" s="1"/>
    </row>
    <row r="15" spans="1:6" x14ac:dyDescent="0.25">
      <c r="A15" s="1"/>
      <c r="B15" s="32" t="s">
        <v>201</v>
      </c>
      <c r="C15" s="12">
        <f>C14*(1+'Fane 15. Nøgletal'!C15)^2</f>
        <v>5625389.4491260806</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31" t="s">
        <v>117</v>
      </c>
      <c r="C18" s="132"/>
      <c r="D18" s="133"/>
      <c r="E18" s="1"/>
      <c r="F18" s="1"/>
    </row>
    <row r="19" spans="1:6" x14ac:dyDescent="0.25">
      <c r="A19" s="1"/>
      <c r="B19" s="94" t="s">
        <v>99</v>
      </c>
      <c r="C19" s="9">
        <v>0</v>
      </c>
      <c r="D19" s="14" t="s">
        <v>3</v>
      </c>
      <c r="E19" s="1"/>
      <c r="F19" s="1"/>
    </row>
    <row r="20" spans="1:6" x14ac:dyDescent="0.25">
      <c r="A20" s="1"/>
      <c r="B20" s="94" t="s">
        <v>129</v>
      </c>
      <c r="C20" s="9">
        <v>0</v>
      </c>
      <c r="D20" s="14" t="s">
        <v>3</v>
      </c>
      <c r="E20" s="1"/>
      <c r="F20" s="1"/>
    </row>
    <row r="21" spans="1:6" x14ac:dyDescent="0.25">
      <c r="A21" s="1"/>
      <c r="B21" s="94" t="s">
        <v>155</v>
      </c>
      <c r="C21" s="9">
        <v>0</v>
      </c>
      <c r="D21" s="14" t="s">
        <v>3</v>
      </c>
      <c r="E21" s="1"/>
      <c r="F21" s="1"/>
    </row>
    <row r="22" spans="1:6" x14ac:dyDescent="0.25">
      <c r="A22" s="1"/>
      <c r="B22" s="33" t="s">
        <v>202</v>
      </c>
      <c r="C22" s="9">
        <v>0</v>
      </c>
      <c r="D22" s="40" t="s">
        <v>3</v>
      </c>
      <c r="E22" s="1"/>
      <c r="F22" s="1"/>
    </row>
    <row r="23" spans="1:6" x14ac:dyDescent="0.25">
      <c r="A23" s="1"/>
      <c r="B23" s="131"/>
      <c r="C23" s="132"/>
      <c r="D23" s="133"/>
      <c r="E23" s="1"/>
      <c r="F23" s="1"/>
    </row>
    <row r="24" spans="1:6" x14ac:dyDescent="0.25">
      <c r="A24" s="1"/>
      <c r="B24" s="1"/>
      <c r="C24" s="1"/>
      <c r="D24" s="1"/>
      <c r="E24" s="1"/>
      <c r="F24" s="1"/>
    </row>
    <row r="25" spans="1:6" x14ac:dyDescent="0.25">
      <c r="A25" s="1"/>
      <c r="B25" s="1"/>
      <c r="C25" s="1"/>
      <c r="D25" s="1"/>
      <c r="E25" s="1"/>
      <c r="F25" s="1"/>
    </row>
    <row r="26" spans="1:6" x14ac:dyDescent="0.25">
      <c r="A26" s="1"/>
      <c r="B26" s="131" t="s">
        <v>98</v>
      </c>
      <c r="C26" s="132"/>
      <c r="D26" s="133"/>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3" t="s">
        <v>202</v>
      </c>
      <c r="C30" s="9">
        <v>0</v>
      </c>
      <c r="D30" s="40" t="s">
        <v>3</v>
      </c>
      <c r="E30" s="1"/>
      <c r="F30" s="1"/>
    </row>
    <row r="31" spans="1:6" x14ac:dyDescent="0.25">
      <c r="A31" s="1"/>
      <c r="B31" s="131"/>
      <c r="C31" s="132"/>
      <c r="D31" s="133"/>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sheetData>
  <sheetProtection algorithmName="SHA-512" hashValue="NZAiKNcroMzzew2gCjqHmahhNN8lDj36bQuYnk6Vw84n11Sn7BBgtWy/6wKvjImNUWAeDxuQVR1YNZE7vHwxJQ==" saltValue="Nj5MRoIld4Sw5oAWeql8qQ=="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203</v>
      </c>
      <c r="C3" s="124"/>
      <c r="D3" s="124"/>
      <c r="E3" s="124"/>
      <c r="F3" s="124"/>
      <c r="G3" s="1"/>
    </row>
    <row r="4" spans="1:7" ht="15" customHeight="1" x14ac:dyDescent="0.25">
      <c r="A4" s="1"/>
      <c r="B4" s="124"/>
      <c r="C4" s="124"/>
      <c r="D4" s="124"/>
      <c r="E4" s="124"/>
      <c r="F4" s="124"/>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36" t="s">
        <v>204</v>
      </c>
      <c r="C9" s="137"/>
      <c r="D9" s="138"/>
      <c r="E9" s="9">
        <v>10805161.625815764</v>
      </c>
      <c r="F9" s="14" t="s">
        <v>3</v>
      </c>
      <c r="G9" s="1"/>
    </row>
    <row r="10" spans="1:7" x14ac:dyDescent="0.25">
      <c r="A10" s="1"/>
      <c r="B10" s="136" t="s">
        <v>263</v>
      </c>
      <c r="C10" s="137"/>
      <c r="D10" s="138"/>
      <c r="E10" s="9">
        <v>10805161.625815764</v>
      </c>
      <c r="F10" s="14" t="s">
        <v>3</v>
      </c>
      <c r="G10" s="1"/>
    </row>
    <row r="11" spans="1:7" x14ac:dyDescent="0.25">
      <c r="A11" s="1"/>
      <c r="B11" s="32"/>
      <c r="C11" s="27"/>
      <c r="D11" s="27"/>
      <c r="E11" s="27"/>
      <c r="F11" s="19"/>
      <c r="G11" s="1"/>
    </row>
    <row r="12" spans="1:7" ht="80.25" customHeight="1" x14ac:dyDescent="0.25">
      <c r="A12" s="1"/>
      <c r="B12" s="121" t="s">
        <v>287</v>
      </c>
      <c r="C12" s="122"/>
      <c r="D12" s="122"/>
      <c r="E12" s="122"/>
      <c r="F12" s="123"/>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36" t="s">
        <v>282</v>
      </c>
      <c r="C15" s="137"/>
      <c r="D15" s="138"/>
      <c r="E15" s="9">
        <v>0</v>
      </c>
      <c r="F15" s="14" t="s">
        <v>3</v>
      </c>
      <c r="G15" s="1"/>
    </row>
    <row r="16" spans="1:7" x14ac:dyDescent="0.25">
      <c r="A16" s="1"/>
      <c r="B16" s="136" t="s">
        <v>283</v>
      </c>
      <c r="C16" s="137"/>
      <c r="D16" s="138"/>
      <c r="E16" s="9">
        <v>0</v>
      </c>
      <c r="F16" s="14" t="s">
        <v>3</v>
      </c>
      <c r="G16" s="1"/>
    </row>
    <row r="17" spans="1:7" x14ac:dyDescent="0.25">
      <c r="A17" s="1"/>
      <c r="B17" s="32"/>
      <c r="C17" s="27"/>
      <c r="D17" s="27"/>
      <c r="E17" s="27"/>
      <c r="F17" s="19"/>
      <c r="G17" s="1"/>
    </row>
    <row r="18" spans="1:7" ht="31.5" customHeight="1" x14ac:dyDescent="0.25">
      <c r="A18" s="1"/>
      <c r="B18" s="121" t="s">
        <v>288</v>
      </c>
      <c r="C18" s="122"/>
      <c r="D18" s="122"/>
      <c r="E18" s="122"/>
      <c r="F18" s="123"/>
      <c r="G18" s="1"/>
    </row>
    <row r="19" spans="1:7" ht="28.5" customHeight="1" x14ac:dyDescent="0.25">
      <c r="A19" s="1"/>
      <c r="B19" s="1"/>
      <c r="C19" s="1"/>
      <c r="D19" s="1"/>
      <c r="E19" s="1"/>
      <c r="F19" s="1"/>
      <c r="G19" s="1"/>
    </row>
    <row r="20" spans="1:7" ht="28.5" customHeight="1" x14ac:dyDescent="0.25">
      <c r="A20" s="1"/>
      <c r="B20" s="86" t="s">
        <v>205</v>
      </c>
      <c r="C20" s="87"/>
      <c r="D20" s="87"/>
      <c r="E20" s="87"/>
      <c r="F20" s="88"/>
      <c r="G20" s="1"/>
    </row>
    <row r="21" spans="1:7" x14ac:dyDescent="0.25">
      <c r="A21" s="1"/>
      <c r="B21" s="91" t="s">
        <v>206</v>
      </c>
      <c r="C21" s="92"/>
      <c r="D21" s="93"/>
      <c r="E21" s="9">
        <v>68693256.343677342</v>
      </c>
      <c r="F21" s="14" t="s">
        <v>3</v>
      </c>
      <c r="G21" s="1"/>
    </row>
    <row r="22" spans="1:7" x14ac:dyDescent="0.25">
      <c r="A22" s="1"/>
      <c r="B22" s="91" t="s">
        <v>207</v>
      </c>
      <c r="C22" s="92"/>
      <c r="D22" s="93"/>
      <c r="E22" s="9">
        <v>62663523</v>
      </c>
      <c r="F22" s="14" t="s">
        <v>3</v>
      </c>
      <c r="G22" s="1"/>
    </row>
    <row r="23" spans="1:7" x14ac:dyDescent="0.25">
      <c r="A23" s="1"/>
      <c r="B23" s="91" t="s">
        <v>33</v>
      </c>
      <c r="C23" s="92"/>
      <c r="D23" s="93"/>
      <c r="E23" s="9">
        <v>0</v>
      </c>
      <c r="F23" s="14" t="s">
        <v>3</v>
      </c>
      <c r="G23" s="1"/>
    </row>
    <row r="24" spans="1:7" x14ac:dyDescent="0.25">
      <c r="A24" s="1"/>
      <c r="B24" s="89" t="s">
        <v>269</v>
      </c>
      <c r="C24" s="90"/>
      <c r="D24" s="96"/>
      <c r="E24" s="72">
        <f>E21-(E22-E23)</f>
        <v>6029733.3436773419</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284</v>
      </c>
      <c r="C27" s="132"/>
      <c r="D27" s="132"/>
      <c r="E27" s="132"/>
      <c r="F27" s="133"/>
      <c r="G27" s="1"/>
    </row>
    <row r="28" spans="1:7" x14ac:dyDescent="0.25">
      <c r="A28" s="1"/>
      <c r="B28" s="134" t="s">
        <v>285</v>
      </c>
      <c r="C28" s="135"/>
      <c r="D28" s="158"/>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1" t="s">
        <v>143</v>
      </c>
      <c r="C32" s="152"/>
      <c r="D32" s="153"/>
      <c r="E32" s="74">
        <f>IF(AND(E9&gt;0,(E9+E24)&gt;0),0,IF(AND(E9&gt;0,(E9+E24)&lt;0),(E9+E24),IF(AND(E9&lt;0,E24&lt;0),E24,0)))</f>
        <v>0</v>
      </c>
      <c r="F32" s="14" t="s">
        <v>3</v>
      </c>
      <c r="G32" s="1"/>
    </row>
    <row r="33" spans="1:7" x14ac:dyDescent="0.25">
      <c r="A33" s="1"/>
      <c r="B33" s="151" t="s">
        <v>102</v>
      </c>
      <c r="C33" s="152"/>
      <c r="D33" s="153"/>
      <c r="E33" s="9">
        <v>4</v>
      </c>
      <c r="F33" s="14" t="s">
        <v>20</v>
      </c>
      <c r="G33" s="1"/>
    </row>
    <row r="34" spans="1:7" x14ac:dyDescent="0.25">
      <c r="A34" s="1"/>
      <c r="B34" s="154" t="s">
        <v>144</v>
      </c>
      <c r="C34" s="154"/>
      <c r="D34" s="154"/>
      <c r="E34" s="73">
        <f>E32/E33</f>
        <v>0</v>
      </c>
      <c r="F34" s="17" t="s">
        <v>3</v>
      </c>
      <c r="G34" s="1"/>
    </row>
    <row r="35" spans="1:7" x14ac:dyDescent="0.25">
      <c r="A35" s="1"/>
      <c r="B35" s="155"/>
      <c r="C35" s="156"/>
      <c r="D35" s="156"/>
      <c r="E35" s="156"/>
      <c r="F35" s="157"/>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xbdMQCFzwbi+imMa+PrD9PFWm+mJL6/b4qoRrWUpbMwfYyuQNZIEHYbnuVA7oQ7rmgCBFnb3QkL45OYOgFmJQw==" saltValue="EDN/E4i6RA0uvKy5Aql6RQ=="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59" t="s">
        <v>272</v>
      </c>
      <c r="C10" s="160"/>
      <c r="D10" s="160"/>
      <c r="E10" s="160"/>
      <c r="F10" s="161"/>
      <c r="G10" s="9">
        <v>0</v>
      </c>
      <c r="H10" s="9" t="s">
        <v>3</v>
      </c>
      <c r="I10" s="1"/>
    </row>
    <row r="11" spans="1:9" x14ac:dyDescent="0.25">
      <c r="A11" s="1"/>
      <c r="B11" s="159" t="s">
        <v>273</v>
      </c>
      <c r="C11" s="160"/>
      <c r="D11" s="160"/>
      <c r="E11" s="160"/>
      <c r="F11" s="161"/>
      <c r="G11" s="9">
        <v>0</v>
      </c>
      <c r="H11" s="9" t="s">
        <v>3</v>
      </c>
      <c r="I11" s="1"/>
    </row>
    <row r="12" spans="1:9" x14ac:dyDescent="0.25">
      <c r="A12" s="1"/>
      <c r="B12" s="159" t="s">
        <v>274</v>
      </c>
      <c r="C12" s="160"/>
      <c r="D12" s="160"/>
      <c r="E12" s="160"/>
      <c r="F12" s="161"/>
      <c r="G12" s="9">
        <v>0</v>
      </c>
      <c r="H12" s="9" t="s">
        <v>3</v>
      </c>
      <c r="I12" s="1"/>
    </row>
    <row r="13" spans="1:9" x14ac:dyDescent="0.25">
      <c r="A13" s="1"/>
      <c r="B13" s="159" t="s">
        <v>275</v>
      </c>
      <c r="C13" s="160"/>
      <c r="D13" s="160"/>
      <c r="E13" s="160"/>
      <c r="F13" s="161"/>
      <c r="G13" s="9">
        <v>0</v>
      </c>
      <c r="H13" s="9" t="s">
        <v>3</v>
      </c>
      <c r="I13" s="1"/>
    </row>
    <row r="14" spans="1:9" x14ac:dyDescent="0.25">
      <c r="A14" s="1"/>
      <c r="B14" s="159" t="s">
        <v>276</v>
      </c>
      <c r="C14" s="160"/>
      <c r="D14" s="160"/>
      <c r="E14" s="160"/>
      <c r="F14" s="161"/>
      <c r="G14" s="9">
        <v>0</v>
      </c>
      <c r="H14" s="9" t="s">
        <v>3</v>
      </c>
      <c r="I14" s="1"/>
    </row>
    <row r="15" spans="1:9" x14ac:dyDescent="0.25">
      <c r="A15" s="1"/>
      <c r="B15" s="159" t="s">
        <v>277</v>
      </c>
      <c r="C15" s="160"/>
      <c r="D15" s="160"/>
      <c r="E15" s="160"/>
      <c r="F15" s="161"/>
      <c r="G15" s="9">
        <v>0</v>
      </c>
      <c r="H15" s="9" t="s">
        <v>3</v>
      </c>
      <c r="I15" s="1"/>
    </row>
    <row r="16" spans="1:9" x14ac:dyDescent="0.25">
      <c r="A16" s="1"/>
      <c r="B16" s="159" t="s">
        <v>278</v>
      </c>
      <c r="C16" s="160"/>
      <c r="D16" s="160"/>
      <c r="E16" s="160"/>
      <c r="F16" s="161"/>
      <c r="G16" s="9">
        <v>0</v>
      </c>
      <c r="H16" s="9" t="s">
        <v>3</v>
      </c>
      <c r="I16" s="1"/>
    </row>
    <row r="17" spans="1:9" x14ac:dyDescent="0.25">
      <c r="A17" s="1"/>
      <c r="B17" s="159" t="s">
        <v>279</v>
      </c>
      <c r="C17" s="160"/>
      <c r="D17" s="160"/>
      <c r="E17" s="160"/>
      <c r="F17" s="161"/>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ZJc99Rd0Mo/meX6rtKOzAwQPzlqJalug6aNqHhu941wX220u4ydiINpMJS4Ixzzxbnnj3cwHmegURndO3R4AKw==" saltValue="96s/58zzCR71A6PuKM0a4A==" spinCount="100000" sheet="1" objects="1" scenarios="1"/>
  <mergeCells count="12">
    <mergeCell ref="B11:F11"/>
    <mergeCell ref="B10:F10"/>
    <mergeCell ref="B9:H9"/>
    <mergeCell ref="B3:H4"/>
    <mergeCell ref="B8:H8"/>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254</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21" t="s">
        <v>100</v>
      </c>
      <c r="C10" s="122"/>
      <c r="D10" s="123"/>
      <c r="E10" s="7">
        <v>873733.22436272691</v>
      </c>
      <c r="F10" s="8" t="s">
        <v>3</v>
      </c>
      <c r="G10" s="1"/>
    </row>
    <row r="11" spans="1:7" x14ac:dyDescent="0.25">
      <c r="A11" s="1"/>
      <c r="B11" s="136" t="s">
        <v>209</v>
      </c>
      <c r="C11" s="137"/>
      <c r="D11" s="138"/>
      <c r="E11" s="7">
        <v>0</v>
      </c>
      <c r="F11" s="8" t="s">
        <v>3</v>
      </c>
      <c r="G11" s="1"/>
    </row>
    <row r="12" spans="1:7" x14ac:dyDescent="0.25">
      <c r="A12" s="1"/>
      <c r="B12" s="134" t="s">
        <v>101</v>
      </c>
      <c r="C12" s="135"/>
      <c r="D12" s="158"/>
      <c r="E12" s="10">
        <f>E11-E10</f>
        <v>-873733.22436272691</v>
      </c>
      <c r="F12" s="11" t="s">
        <v>3</v>
      </c>
      <c r="G12" s="1"/>
    </row>
    <row r="13" spans="1:7" x14ac:dyDescent="0.25">
      <c r="A13" s="1"/>
      <c r="B13" s="131" t="s">
        <v>94</v>
      </c>
      <c r="C13" s="132"/>
      <c r="D13" s="132"/>
      <c r="E13" s="132"/>
      <c r="F13" s="133"/>
      <c r="G13" s="1"/>
    </row>
    <row r="14" spans="1:7" x14ac:dyDescent="0.25">
      <c r="A14" s="1"/>
      <c r="B14" s="136" t="s">
        <v>210</v>
      </c>
      <c r="C14" s="137"/>
      <c r="D14" s="138"/>
      <c r="E14" s="9">
        <v>0</v>
      </c>
      <c r="F14" s="8" t="s">
        <v>3</v>
      </c>
      <c r="G14" s="1"/>
    </row>
    <row r="15" spans="1:7" x14ac:dyDescent="0.25">
      <c r="A15" s="1"/>
      <c r="B15" s="121" t="s">
        <v>211</v>
      </c>
      <c r="C15" s="122"/>
      <c r="D15" s="123"/>
      <c r="E15" s="9">
        <v>0</v>
      </c>
      <c r="F15" s="8" t="s">
        <v>3</v>
      </c>
      <c r="G15" s="1"/>
    </row>
    <row r="16" spans="1:7" x14ac:dyDescent="0.25">
      <c r="A16" s="1"/>
      <c r="B16" s="134" t="s">
        <v>101</v>
      </c>
      <c r="C16" s="135"/>
      <c r="D16" s="158"/>
      <c r="E16" s="10">
        <f>E15-E14</f>
        <v>0</v>
      </c>
      <c r="F16" s="11" t="s">
        <v>3</v>
      </c>
      <c r="G16" s="1"/>
    </row>
    <row r="17" spans="1:7" x14ac:dyDescent="0.25">
      <c r="A17" s="1"/>
      <c r="B17" s="32" t="s">
        <v>212</v>
      </c>
      <c r="C17" s="27"/>
      <c r="D17" s="27"/>
      <c r="E17" s="12">
        <f>E12+E16</f>
        <v>-873733.22436272691</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vtuXaqaiTsO8TDHFYyNj0gErYEk87saJEhYR0rB3YxlKtGwqWKcjOiPcnctjJ62PN0tb29sR828RetIftWA1eA==" saltValue="sqK/vCj0xvYhrfVHZRPzF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2" t="s">
        <v>245</v>
      </c>
      <c r="E9" s="163"/>
      <c r="F9" s="162" t="s">
        <v>2</v>
      </c>
      <c r="G9" s="163"/>
      <c r="H9" s="162" t="s">
        <v>244</v>
      </c>
      <c r="I9" s="163"/>
      <c r="J9" s="162" t="s">
        <v>30</v>
      </c>
      <c r="K9" s="163"/>
      <c r="L9" s="1"/>
    </row>
    <row r="10" spans="1:12" x14ac:dyDescent="0.25">
      <c r="A10" s="1"/>
      <c r="B10" s="97" t="s">
        <v>280</v>
      </c>
      <c r="C10" s="41">
        <v>0</v>
      </c>
      <c r="D10" s="9">
        <v>0</v>
      </c>
      <c r="E10" s="14" t="s">
        <v>3</v>
      </c>
      <c r="F10" s="9">
        <f>IFERROR(D10/C10,0)</f>
        <v>0</v>
      </c>
      <c r="G10" s="14" t="s">
        <v>3</v>
      </c>
      <c r="H10" s="44">
        <v>0</v>
      </c>
      <c r="I10" s="14" t="s">
        <v>3</v>
      </c>
      <c r="J10" s="44">
        <v>0</v>
      </c>
      <c r="K10" s="14" t="s">
        <v>3</v>
      </c>
      <c r="L10" s="1"/>
    </row>
    <row r="11" spans="1:12" x14ac:dyDescent="0.25">
      <c r="A11" s="1"/>
      <c r="B11" s="86" t="s">
        <v>220</v>
      </c>
      <c r="C11" s="87"/>
      <c r="D11" s="88"/>
      <c r="E11" s="88"/>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h0kS0BzYRoitdi+weMrLvw3U6KkptlGTeE9UUIHLaqwlXMh9euOiUfzaTxpGn/ERy7rWWQ67T1X75lV2zJpGhg==" saltValue="l/8feo6Obzi8XlMqu7UIy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271</v>
      </c>
      <c r="C11" s="21">
        <v>296096</v>
      </c>
      <c r="D11" s="14" t="s">
        <v>3</v>
      </c>
      <c r="E11" s="9">
        <v>468346</v>
      </c>
      <c r="F11" s="14" t="s">
        <v>3</v>
      </c>
      <c r="G11" s="1"/>
    </row>
    <row r="12" spans="1:7" x14ac:dyDescent="0.25">
      <c r="A12" s="1"/>
      <c r="B12" s="32" t="s">
        <v>156</v>
      </c>
      <c r="C12" s="12">
        <f>SUM(C10:C11)</f>
        <v>296096</v>
      </c>
      <c r="D12" s="13" t="s">
        <v>3</v>
      </c>
      <c r="E12" s="12">
        <f>SUM(E10:E11)</f>
        <v>468346</v>
      </c>
      <c r="F12" s="13" t="s">
        <v>3</v>
      </c>
      <c r="G12" s="1"/>
    </row>
    <row r="13" spans="1:7" x14ac:dyDescent="0.25">
      <c r="A13" s="1"/>
      <c r="B13" s="32" t="s">
        <v>213</v>
      </c>
      <c r="C13" s="12">
        <f>C12*(1+'Fane 15. Nøgletal'!C15)</f>
        <v>306637.01760000002</v>
      </c>
      <c r="D13" s="13" t="s">
        <v>3</v>
      </c>
      <c r="E13" s="12">
        <f>E12*(1+'Fane 15. Nøgletal'!C15)</f>
        <v>485019.11760000006</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9w1BjlgYnNqUNWTNU8MlF+ccHVfws/KqfhtZs3BVVRsEvQvxJsFxaLoJMgwWuw4cl4c6VbyLmX3Lm0zA0wL04w==" saltValue="A2SCcMocKwGWT9PxoABni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4" t="s">
        <v>17</v>
      </c>
      <c r="C9" s="84" t="s">
        <v>11</v>
      </c>
      <c r="D9" s="85"/>
      <c r="E9" s="84" t="s">
        <v>31</v>
      </c>
      <c r="F9" s="31"/>
      <c r="G9" s="1"/>
    </row>
    <row r="10" spans="1:7" x14ac:dyDescent="0.25">
      <c r="A10" s="1"/>
      <c r="B10" s="23" t="s">
        <v>281</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4"/>
      <c r="C28" s="164"/>
      <c r="D28" s="164"/>
      <c r="E28" s="164"/>
      <c r="F28" s="164"/>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4wtB+9IHWxVDU6VapjhT73QMm+WpMh3cTG96BrVCfzPdkWlecA84xTRhZLx0kCTnQiow2xGpmQg3iQgoA2uz6g==" saltValue="nukdqEGI3FiEaMowaqSExA=="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258</v>
      </c>
      <c r="C3" s="124"/>
      <c r="D3" s="124"/>
      <c r="E3" s="124"/>
      <c r="F3" s="124"/>
      <c r="G3" s="1"/>
    </row>
    <row r="4" spans="1:7" ht="15" customHeight="1" x14ac:dyDescent="0.25">
      <c r="A4" s="1"/>
      <c r="B4" s="124"/>
      <c r="C4" s="124"/>
      <c r="D4" s="124"/>
      <c r="E4" s="124"/>
      <c r="F4" s="124"/>
      <c r="G4" s="1"/>
    </row>
    <row r="5" spans="1:7" x14ac:dyDescent="0.25">
      <c r="A5" s="1"/>
      <c r="B5" s="124"/>
      <c r="C5" s="124"/>
      <c r="D5" s="124"/>
      <c r="E5" s="124"/>
      <c r="F5" s="12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59" t="s">
        <v>224</v>
      </c>
      <c r="C10" s="160"/>
      <c r="D10" s="161"/>
      <c r="E10" s="9">
        <v>687446.56977858383</v>
      </c>
      <c r="F10" s="14" t="s">
        <v>3</v>
      </c>
      <c r="G10" s="1"/>
    </row>
    <row r="11" spans="1:7" x14ac:dyDescent="0.25">
      <c r="A11" s="1"/>
      <c r="B11" s="125" t="s">
        <v>10</v>
      </c>
      <c r="C11" s="126"/>
      <c r="D11" s="127"/>
      <c r="E11" s="9">
        <f>-E10*'Fane 5. Individuelt eff. krav'!G9</f>
        <v>-4318.8284390949302</v>
      </c>
      <c r="F11" s="14" t="s">
        <v>3</v>
      </c>
      <c r="G11" s="1"/>
    </row>
    <row r="12" spans="1:7" x14ac:dyDescent="0.25">
      <c r="A12" s="1"/>
      <c r="B12" s="125" t="s">
        <v>24</v>
      </c>
      <c r="C12" s="126"/>
      <c r="D12" s="127"/>
      <c r="E12" s="9">
        <f>-E10*'Fane 15. Nøgletal'!C31</f>
        <v>-13748.931395571677</v>
      </c>
      <c r="F12" s="14" t="s">
        <v>3</v>
      </c>
      <c r="G12" s="1"/>
    </row>
    <row r="13" spans="1:7" x14ac:dyDescent="0.25">
      <c r="A13" s="1"/>
      <c r="B13" s="131" t="s">
        <v>92</v>
      </c>
      <c r="C13" s="132"/>
      <c r="D13" s="133"/>
      <c r="E13" s="12">
        <f>SUM(E10:E12)*(1+'Fane 15. Nøgletal'!C15)^2</f>
        <v>717886.92514049471</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59" t="s">
        <v>224</v>
      </c>
      <c r="C16" s="160"/>
      <c r="D16" s="161"/>
      <c r="E16" s="9">
        <v>687446.56977858383</v>
      </c>
      <c r="F16" s="14" t="s">
        <v>3</v>
      </c>
      <c r="G16" s="1"/>
    </row>
    <row r="17" spans="1:7" x14ac:dyDescent="0.25">
      <c r="A17" s="1"/>
      <c r="B17" s="125" t="s">
        <v>10</v>
      </c>
      <c r="C17" s="126"/>
      <c r="D17" s="127"/>
      <c r="E17" s="9">
        <f>-E16*'Fane 5. Individuelt eff. krav'!G9</f>
        <v>-4318.8284390949302</v>
      </c>
      <c r="F17" s="14" t="s">
        <v>3</v>
      </c>
      <c r="G17" s="1"/>
    </row>
    <row r="18" spans="1:7" x14ac:dyDescent="0.25">
      <c r="A18" s="1"/>
      <c r="B18" s="125" t="s">
        <v>24</v>
      </c>
      <c r="C18" s="126"/>
      <c r="D18" s="127"/>
      <c r="E18" s="9">
        <f>-E16*'Fane 15. Nøgletal'!C31</f>
        <v>-13748.931395571677</v>
      </c>
      <c r="F18" s="14" t="s">
        <v>3</v>
      </c>
      <c r="G18" s="1"/>
    </row>
    <row r="19" spans="1:7" x14ac:dyDescent="0.25">
      <c r="A19" s="1"/>
      <c r="B19" s="131" t="s">
        <v>131</v>
      </c>
      <c r="C19" s="132"/>
      <c r="D19" s="133"/>
      <c r="E19" s="12">
        <f>SUM(E16:E18)*(1+'Fane 15. Nøgletal'!C15)^3</f>
        <v>743443.69967549643</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59" t="s">
        <v>224</v>
      </c>
      <c r="C22" s="160"/>
      <c r="D22" s="161"/>
      <c r="E22" s="9">
        <v>687446.56977858383</v>
      </c>
      <c r="F22" s="14" t="s">
        <v>3</v>
      </c>
      <c r="G22" s="1"/>
    </row>
    <row r="23" spans="1:7" x14ac:dyDescent="0.25">
      <c r="A23" s="1"/>
      <c r="B23" s="125" t="s">
        <v>10</v>
      </c>
      <c r="C23" s="126"/>
      <c r="D23" s="127"/>
      <c r="E23" s="9">
        <f>-E22*'Fane 5. Individuelt eff. krav'!G9</f>
        <v>-4318.8284390949302</v>
      </c>
      <c r="F23" s="14" t="s">
        <v>3</v>
      </c>
      <c r="G23" s="1"/>
    </row>
    <row r="24" spans="1:7" x14ac:dyDescent="0.25">
      <c r="A24" s="1"/>
      <c r="B24" s="125" t="s">
        <v>24</v>
      </c>
      <c r="C24" s="126"/>
      <c r="D24" s="127"/>
      <c r="E24" s="9">
        <f>-E22*'Fane 15. Nøgletal'!C31</f>
        <v>-13748.931395571677</v>
      </c>
      <c r="F24" s="14" t="s">
        <v>3</v>
      </c>
      <c r="G24" s="1"/>
    </row>
    <row r="25" spans="1:7" x14ac:dyDescent="0.25">
      <c r="A25" s="1"/>
      <c r="B25" s="131" t="s">
        <v>158</v>
      </c>
      <c r="C25" s="132"/>
      <c r="D25" s="133"/>
      <c r="E25" s="12">
        <f>SUM(E22:E24)*(1+'Fane 15. Nøgletal'!C15)^4</f>
        <v>769910.29538394406</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59" t="s">
        <v>224</v>
      </c>
      <c r="C28" s="160"/>
      <c r="D28" s="161"/>
      <c r="E28" s="9">
        <v>687446.56977858383</v>
      </c>
      <c r="F28" s="14" t="s">
        <v>3</v>
      </c>
      <c r="G28" s="1"/>
    </row>
    <row r="29" spans="1:7" x14ac:dyDescent="0.25">
      <c r="A29" s="1"/>
      <c r="B29" s="125" t="s">
        <v>10</v>
      </c>
      <c r="C29" s="126"/>
      <c r="D29" s="127"/>
      <c r="E29" s="9">
        <f>-E28*'Fane 5. Individuelt eff. krav'!G9</f>
        <v>-4318.8284390949302</v>
      </c>
      <c r="F29" s="14" t="s">
        <v>3</v>
      </c>
      <c r="G29" s="1"/>
    </row>
    <row r="30" spans="1:7" x14ac:dyDescent="0.25">
      <c r="A30" s="1"/>
      <c r="B30" s="125" t="s">
        <v>24</v>
      </c>
      <c r="C30" s="126"/>
      <c r="D30" s="127"/>
      <c r="E30" s="9">
        <f>-E28*'Fane 15. Nøgletal'!C31</f>
        <v>-13748.931395571677</v>
      </c>
      <c r="F30" s="14" t="s">
        <v>3</v>
      </c>
      <c r="G30" s="1"/>
    </row>
    <row r="31" spans="1:7" x14ac:dyDescent="0.25">
      <c r="A31" s="1"/>
      <c r="B31" s="131" t="s">
        <v>215</v>
      </c>
      <c r="C31" s="132"/>
      <c r="D31" s="133"/>
      <c r="E31" s="12">
        <f>SUM(E28:E30)*(1+'Fane 15. Nøgletal'!C15)^5</f>
        <v>797319.10189961246</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dZJhuQRqgkUrEdXcBAvfwNoJ8jsTJpSSaRcn9kPmd3hdnvf4Vb9HtqzFHfS72sNFy99YdiOF8TtJDUMSfDrx2w==" saltValue="vDbRu1n478MMXsuGaTG0ag=="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 style="2" customWidth="1"/>
    <col min="2" max="2" width="43.28515625" style="2" customWidth="1"/>
    <col min="3" max="3" width="15.5703125" style="2" customWidth="1"/>
    <col min="4" max="4" width="3.28515625" style="2" customWidth="1"/>
    <col min="5" max="5" width="17.140625" style="2" customWidth="1"/>
    <col min="6" max="6" width="3.28515625" style="2" customWidth="1"/>
    <col min="7" max="7" width="2"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259</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270</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3vuLRnpp9vuZyU30slXC1ARt1MWzhFP8ngBANLFUoC5pFTQo+SZ45lp1oFDWZSruwjkYRZzxRDgFUuHtZeEczg==" saltValue="xWuT+kEaAed1Qaswt26m/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260</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4"/>
      <c r="C27" s="164"/>
      <c r="D27" s="164"/>
      <c r="E27" s="164"/>
      <c r="F27" s="164"/>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s177peFQBad3IjwILWBedozFLXvkqzJtF85/VqY6irILMZnwhlJCuAMdBNUkfULVr1HtCm+tSAQMvXCDhXaM4w==" saltValue="RSf4ON/PdNmbalvBMbzms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61980493.842330068</v>
      </c>
      <c r="D9" s="8" t="s">
        <v>3</v>
      </c>
      <c r="E9" s="1"/>
    </row>
    <row r="10" spans="1:5" ht="17.25" customHeight="1" x14ac:dyDescent="0.25">
      <c r="A10" s="1"/>
      <c r="B10" s="83" t="s">
        <v>39</v>
      </c>
      <c r="C10" s="7">
        <f>'Fane 11.1. Varige tillæg'!C13</f>
        <v>306637.01760000002</v>
      </c>
      <c r="D10" s="8" t="s">
        <v>3</v>
      </c>
      <c r="E10" s="1"/>
    </row>
    <row r="11" spans="1:5" ht="17.25" customHeight="1" x14ac:dyDescent="0.25">
      <c r="A11" s="1"/>
      <c r="B11" s="83" t="s">
        <v>40</v>
      </c>
      <c r="C11" s="9">
        <f>'Fane 11.1. Varige tillæg'!E13</f>
        <v>485019.11760000006</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232718.58809280922</v>
      </c>
      <c r="D16" s="8" t="s">
        <v>3</v>
      </c>
      <c r="E16" s="1"/>
    </row>
    <row r="17" spans="1:5" ht="17.25" customHeight="1" x14ac:dyDescent="0.25">
      <c r="A17" s="1"/>
      <c r="B17" s="83" t="s">
        <v>10</v>
      </c>
      <c r="C17" s="44">
        <f>-SUM(C9,C10:C16)*'Fane 5. Individuelt eff. krav'!G9</f>
        <v>-395823.07938534324</v>
      </c>
      <c r="D17" s="8" t="s">
        <v>3</v>
      </c>
      <c r="E17" s="1"/>
    </row>
    <row r="18" spans="1:5" ht="17.25" customHeight="1" x14ac:dyDescent="0.25">
      <c r="A18" s="1"/>
      <c r="B18" s="83" t="s">
        <v>24</v>
      </c>
      <c r="C18" s="44">
        <f>-'Fane 4.1. Gen. krav - drift'!G45</f>
        <v>-430399.65663600399</v>
      </c>
      <c r="D18" s="8" t="s">
        <v>3</v>
      </c>
      <c r="E18" s="1"/>
    </row>
    <row r="19" spans="1:5" ht="17.25" customHeight="1" x14ac:dyDescent="0.25">
      <c r="A19" s="1"/>
      <c r="B19" s="83" t="s">
        <v>25</v>
      </c>
      <c r="C19" s="44">
        <f>-'Fane 4.2. Gen. krav - anlæg'!G43</f>
        <v>-639657.10215482907</v>
      </c>
      <c r="D19" s="8" t="s">
        <v>3</v>
      </c>
      <c r="E19" s="48"/>
    </row>
    <row r="20" spans="1:5" ht="17.25" customHeight="1" x14ac:dyDescent="0.25">
      <c r="A20" s="1"/>
      <c r="B20" s="89" t="s">
        <v>21</v>
      </c>
      <c r="C20" s="10">
        <f>SUM(C9:C19)</f>
        <v>61538988.727446705</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5625389.4491260806</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717886.92514049471</v>
      </c>
      <c r="D24" s="11" t="s">
        <v>3</v>
      </c>
      <c r="E24" s="1"/>
    </row>
    <row r="25" spans="1:5" ht="15" customHeight="1" x14ac:dyDescent="0.25">
      <c r="A25" s="1"/>
      <c r="B25" s="47" t="s">
        <v>85</v>
      </c>
      <c r="C25" s="45"/>
      <c r="D25" s="46"/>
      <c r="E25" s="1"/>
    </row>
    <row r="26" spans="1:5" ht="15" customHeight="1" x14ac:dyDescent="0.25">
      <c r="A26" s="1"/>
      <c r="B26" s="83" t="s">
        <v>231</v>
      </c>
      <c r="C26" s="75">
        <f>'Fane 11.2. Engangstillæg'!C12</f>
        <v>0</v>
      </c>
      <c r="D26" s="8" t="s">
        <v>3</v>
      </c>
      <c r="E26" s="1"/>
    </row>
    <row r="27" spans="1:5" ht="15" customHeight="1" x14ac:dyDescent="0.25">
      <c r="A27" s="1"/>
      <c r="B27" s="83" t="s">
        <v>82</v>
      </c>
      <c r="C27" s="75">
        <f>'Fane 11.2. Engangstillæg'!E12</f>
        <v>0</v>
      </c>
      <c r="D27" s="8" t="s">
        <v>3</v>
      </c>
      <c r="E27" s="1"/>
    </row>
    <row r="28" spans="1:5" ht="15" customHeight="1" x14ac:dyDescent="0.25">
      <c r="A28" s="1"/>
      <c r="B28" s="83" t="s">
        <v>238</v>
      </c>
      <c r="C28" s="75">
        <f>-C26*('Fane 15. Nøgletal'!C31+'Fane 5. Individuelt eff. krav'!G9)</f>
        <v>0</v>
      </c>
      <c r="D28" s="8" t="s">
        <v>3</v>
      </c>
      <c r="E28" s="1"/>
    </row>
    <row r="29" spans="1:5" ht="15" customHeight="1" x14ac:dyDescent="0.25">
      <c r="A29" s="1"/>
      <c r="B29" s="83"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-873733.22436272691</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67008531.877350554</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vFX2baRxjWcCwVV8pE5HKkttQ9pB/R5l06OMrZtNZWpyzvaiqy2ymrCN2RMxQu9Mv57JPY2uV0LSo2aOyuWWTg==" saltValue="jGzBrYIi/86MBUTAHQr0T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4" t="s">
        <v>261</v>
      </c>
      <c r="C3" s="124"/>
      <c r="D3" s="1"/>
    </row>
    <row r="4" spans="1:4" ht="25.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2AvUFYfwcryppeV+1oFiBEhaQg+nolo6FQLeCUQfHG+wHSDTU5rSxTEpIqyIbm0yJyucGyyEQEv28rALEtk8KA==" saltValue="PIPNfsRC0DF7X+0fzjvyk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61538988.727446705</v>
      </c>
      <c r="D9" s="8" t="s">
        <v>3</v>
      </c>
      <c r="E9" s="1"/>
    </row>
    <row r="10" spans="1:5" ht="15" customHeight="1" x14ac:dyDescent="0.25">
      <c r="A10" s="1"/>
      <c r="B10" s="25" t="s">
        <v>19</v>
      </c>
      <c r="C10" s="7">
        <f>SUM(C9:C9)*'Fane 15. Nøgletal'!C15</f>
        <v>2190787.9986971025</v>
      </c>
      <c r="D10" s="8" t="s">
        <v>3</v>
      </c>
      <c r="E10" s="1"/>
    </row>
    <row r="11" spans="1:5" ht="15" customHeight="1" x14ac:dyDescent="0.25">
      <c r="A11" s="1"/>
      <c r="B11" s="25" t="s">
        <v>10</v>
      </c>
      <c r="C11" s="9">
        <f>-SUM(C9:C10)*'Fane 5. Individuelt eff. krav'!G9</f>
        <v>-400377.25729097764</v>
      </c>
      <c r="D11" s="8" t="s">
        <v>3</v>
      </c>
      <c r="E11" s="1"/>
    </row>
    <row r="12" spans="1:5" ht="15" customHeight="1" x14ac:dyDescent="0.25">
      <c r="A12" s="1"/>
      <c r="B12" s="25" t="s">
        <v>24</v>
      </c>
      <c r="C12" s="9">
        <f>-'Fane 4.1. Gen. krav - drift'!G53</f>
        <v>-436807.44672400085</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62892592.022128835</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omk.'!C26+'Fane 6. Ikke-påvirkelige omk.'!C34</f>
        <v>5825653.3135149693</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743443.69967549643</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69461689.035319299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WTLpwSdPYqs1jnk4P6tR8z/5coGALJ1+YDoiHJw0otZFPdISpMEWzFovNOR8qCix758zjde5blqiXN4vq1HLkA==" saltValue="Zrgf1SgNPASMBEkO1WvJG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62892592.022128835</v>
      </c>
      <c r="D9" s="8" t="s">
        <v>3</v>
      </c>
      <c r="E9" s="1"/>
    </row>
    <row r="10" spans="1:5" ht="15" customHeight="1" x14ac:dyDescent="0.25">
      <c r="A10" s="1"/>
      <c r="B10" s="25" t="s">
        <v>19</v>
      </c>
      <c r="C10" s="7">
        <f>SUM(C9:C9)*'Fane 15. Nøgletal'!C15</f>
        <v>2238976.2759877867</v>
      </c>
      <c r="D10" s="8" t="s">
        <v>3</v>
      </c>
      <c r="E10" s="1"/>
    </row>
    <row r="11" spans="1:5" ht="15" customHeight="1" x14ac:dyDescent="0.25">
      <c r="A11" s="1"/>
      <c r="B11" s="25" t="s">
        <v>10</v>
      </c>
      <c r="C11" s="9">
        <f>-SUM(C9:C10)*'Fane 5. Individuelt eff. krav'!G9</f>
        <v>-409183.90143303759</v>
      </c>
      <c r="D11" s="8" t="s">
        <v>3</v>
      </c>
      <c r="E11" s="1"/>
    </row>
    <row r="12" spans="1:5" ht="15" customHeight="1" x14ac:dyDescent="0.25">
      <c r="A12" s="1"/>
      <c r="B12" s="25" t="s">
        <v>24</v>
      </c>
      <c r="C12" s="9">
        <f>-'Fane 4.1. Gen. krav - drift'!G58</f>
        <v>-443310.63599082781</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64279073.76069276</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6033046.5714761028</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769910.29538394406</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71082030.627552807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knDk4rVU3CIDQYLQSkJIsQr+y+0lzNlPl1nwRMzxuRfdVLUeTMnGBalPL8sqV9ygHjQ8b5QRpv4tNDqECOVElg==" saltValue="gv327/wAYRNXZdVtC3R5k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64279073.76069276</v>
      </c>
      <c r="D9" s="8" t="s">
        <v>3</v>
      </c>
      <c r="E9" s="1"/>
    </row>
    <row r="10" spans="1:5" ht="15" customHeight="1" x14ac:dyDescent="0.25">
      <c r="A10" s="1"/>
      <c r="B10" s="25" t="s">
        <v>19</v>
      </c>
      <c r="C10" s="7">
        <f>SUM(C9:C9)*'Fane 15. Nøgletal'!C15</f>
        <v>2288335.0258806623</v>
      </c>
      <c r="D10" s="8" t="s">
        <v>3</v>
      </c>
      <c r="E10" s="1"/>
    </row>
    <row r="11" spans="1:5" ht="15" customHeight="1" x14ac:dyDescent="0.25">
      <c r="A11" s="1"/>
      <c r="B11" s="25" t="s">
        <v>10</v>
      </c>
      <c r="C11" s="9">
        <f>-SUM(C9:C10)*'Fane 5. Individuelt eff. krav'!G9</f>
        <v>-418204.45518683473</v>
      </c>
      <c r="D11" s="8" t="s">
        <v>3</v>
      </c>
      <c r="E11" s="1"/>
    </row>
    <row r="12" spans="1:5" ht="15" customHeight="1" x14ac:dyDescent="0.25">
      <c r="A12" s="1"/>
      <c r="B12" s="25" t="s">
        <v>24</v>
      </c>
      <c r="C12" s="9">
        <f>-'Fane 4.1. Gen. krav - drift'!G63</f>
        <v>-449910.64473945933</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65699293.686647132</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Nøgletal'!C15)^3+'Fane 6. Ikke-påvirkelige omk.'!C22+'Fane 6. Ikke-påvirkelige omk.'!C30</f>
        <v>6247823.0294206524</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797319.10189961246</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72744435.8179674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A8FwocFByj4qt56v9HP/549HsndYX5+CKhdizLS7HYTR8DbnKFh4mSnbkbR/hVtdVqdkvJoaWTLqfmTZUN5b4g==" saltValue="3avbPsxqDTJgJn3owo7sd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showWhiteSpace="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191</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286</v>
      </c>
      <c r="C8" s="27"/>
      <c r="D8" s="27"/>
      <c r="E8" s="27"/>
      <c r="F8" s="19"/>
      <c r="G8" s="1"/>
    </row>
    <row r="9" spans="1:7" ht="15" customHeight="1" x14ac:dyDescent="0.25">
      <c r="A9" s="1"/>
      <c r="B9" s="121" t="s">
        <v>192</v>
      </c>
      <c r="C9" s="122"/>
      <c r="D9" s="123"/>
      <c r="E9" s="7">
        <v>62982071.444226623</v>
      </c>
      <c r="F9" s="8" t="s">
        <v>3</v>
      </c>
      <c r="G9" s="1"/>
    </row>
    <row r="10" spans="1:7" ht="15" customHeight="1" x14ac:dyDescent="0.25">
      <c r="A10" s="1"/>
      <c r="B10" s="125" t="s">
        <v>39</v>
      </c>
      <c r="C10" s="126"/>
      <c r="D10" s="127"/>
      <c r="E10" s="7">
        <v>229653.36340000003</v>
      </c>
      <c r="F10" s="8" t="s">
        <v>3</v>
      </c>
      <c r="G10" s="1"/>
    </row>
    <row r="11" spans="1:7" ht="15" customHeight="1" x14ac:dyDescent="0.25">
      <c r="A11" s="1"/>
      <c r="B11" s="125" t="s">
        <v>40</v>
      </c>
      <c r="C11" s="126"/>
      <c r="D11" s="127"/>
      <c r="E11" s="9">
        <v>37125.109900000003</v>
      </c>
      <c r="F11" s="8" t="s">
        <v>3</v>
      </c>
      <c r="G11" s="1"/>
    </row>
    <row r="12" spans="1:7" ht="15" customHeight="1" x14ac:dyDescent="0.25">
      <c r="A12" s="1"/>
      <c r="B12" s="125" t="s">
        <v>27</v>
      </c>
      <c r="C12" s="126"/>
      <c r="D12" s="127"/>
      <c r="E12" s="9">
        <v>0</v>
      </c>
      <c r="F12" s="8" t="s">
        <v>3</v>
      </c>
      <c r="G12" s="1"/>
    </row>
    <row r="13" spans="1:7" ht="15" customHeight="1" x14ac:dyDescent="0.25">
      <c r="A13" s="1"/>
      <c r="B13" s="121" t="s">
        <v>26</v>
      </c>
      <c r="C13" s="122"/>
      <c r="D13" s="123"/>
      <c r="E13" s="9">
        <v>0</v>
      </c>
      <c r="F13" s="8" t="s">
        <v>3</v>
      </c>
      <c r="G13" s="1"/>
    </row>
    <row r="14" spans="1:7" ht="15" customHeight="1" x14ac:dyDescent="0.25">
      <c r="A14" s="1"/>
      <c r="B14" s="121" t="s">
        <v>29</v>
      </c>
      <c r="C14" s="122"/>
      <c r="D14" s="123"/>
      <c r="E14" s="9">
        <v>0</v>
      </c>
      <c r="F14" s="8" t="s">
        <v>3</v>
      </c>
      <c r="G14" s="1"/>
    </row>
    <row r="15" spans="1:7" ht="15" customHeight="1" x14ac:dyDescent="0.25">
      <c r="A15" s="1"/>
      <c r="B15" s="121" t="s">
        <v>28</v>
      </c>
      <c r="C15" s="122"/>
      <c r="D15" s="123"/>
      <c r="E15" s="9">
        <v>0</v>
      </c>
      <c r="F15" s="8" t="s">
        <v>3</v>
      </c>
      <c r="G15" s="1"/>
    </row>
    <row r="16" spans="1:7" ht="15" customHeight="1" x14ac:dyDescent="0.25">
      <c r="A16" s="1"/>
      <c r="B16" s="121" t="s">
        <v>19</v>
      </c>
      <c r="C16" s="122"/>
      <c r="D16" s="123"/>
      <c r="E16" s="9">
        <f>SUM(E9:E15)*'Fane 15. Nøgletal'!C14</f>
        <v>208721.20472783784</v>
      </c>
      <c r="F16" s="8" t="s">
        <v>3</v>
      </c>
      <c r="G16" s="1"/>
    </row>
    <row r="17" spans="1:7" ht="15" customHeight="1" x14ac:dyDescent="0.25">
      <c r="A17" s="1"/>
      <c r="B17" s="121" t="s">
        <v>10</v>
      </c>
      <c r="C17" s="122"/>
      <c r="D17" s="123"/>
      <c r="E17" s="9">
        <v>-398667.14721836935</v>
      </c>
      <c r="F17" s="8" t="s">
        <v>3</v>
      </c>
      <c r="G17" s="1"/>
    </row>
    <row r="18" spans="1:7" ht="15" customHeight="1" x14ac:dyDescent="0.25">
      <c r="A18" s="1"/>
      <c r="B18" s="121" t="s">
        <v>24</v>
      </c>
      <c r="C18" s="122"/>
      <c r="D18" s="123"/>
      <c r="E18" s="9">
        <f>-'Fane 4.1. Gen. krav - drift'!G39</f>
        <v>-431279.42150848405</v>
      </c>
      <c r="F18" s="8" t="s">
        <v>3</v>
      </c>
      <c r="G18" s="1"/>
    </row>
    <row r="19" spans="1:7" ht="15" customHeight="1" x14ac:dyDescent="0.25">
      <c r="A19" s="1"/>
      <c r="B19" s="121" t="s">
        <v>25</v>
      </c>
      <c r="C19" s="122"/>
      <c r="D19" s="123"/>
      <c r="E19" s="9">
        <f>-'Fane 4.2. Gen. krav - anlæg'!G37</f>
        <v>-647130.71119753551</v>
      </c>
      <c r="F19" s="8" t="s">
        <v>3</v>
      </c>
      <c r="G19" s="1"/>
    </row>
    <row r="20" spans="1:7" ht="15" customHeight="1" x14ac:dyDescent="0.25">
      <c r="A20" s="1"/>
      <c r="B20" s="54" t="s">
        <v>21</v>
      </c>
      <c r="C20" s="90"/>
      <c r="D20" s="96"/>
      <c r="E20" s="51">
        <f>SUM(E9:E19)</f>
        <v>61980493.842330068</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4432672.4573792908</v>
      </c>
      <c r="F22" s="11" t="s">
        <v>3</v>
      </c>
      <c r="G22" s="1"/>
    </row>
    <row r="23" spans="1:7" ht="15" customHeight="1" x14ac:dyDescent="0.25">
      <c r="A23" s="1"/>
      <c r="B23" s="131" t="s">
        <v>86</v>
      </c>
      <c r="C23" s="132"/>
      <c r="D23" s="133"/>
      <c r="E23" s="27"/>
      <c r="F23" s="27"/>
      <c r="G23" s="1"/>
    </row>
    <row r="24" spans="1:7" ht="15" customHeight="1" x14ac:dyDescent="0.25">
      <c r="A24" s="1"/>
      <c r="B24" s="89" t="s">
        <v>86</v>
      </c>
      <c r="C24" s="37"/>
      <c r="D24" s="38"/>
      <c r="E24" s="10">
        <v>665682.6710381225</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4" t="s">
        <v>87</v>
      </c>
      <c r="C28" s="135"/>
      <c r="D28" s="135"/>
      <c r="E28" s="39">
        <v>0</v>
      </c>
      <c r="F28" s="11" t="s">
        <v>3</v>
      </c>
      <c r="G28" s="1"/>
    </row>
    <row r="29" spans="1:7" ht="15" customHeight="1" x14ac:dyDescent="0.25">
      <c r="A29" s="1"/>
      <c r="B29" s="32" t="s">
        <v>143</v>
      </c>
      <c r="C29" s="32"/>
      <c r="D29" s="32"/>
      <c r="E29" s="27"/>
      <c r="F29" s="27"/>
      <c r="G29" s="1"/>
    </row>
    <row r="30" spans="1:7" ht="15" customHeight="1" x14ac:dyDescent="0.25">
      <c r="A30" s="1"/>
      <c r="B30" s="128" t="s">
        <v>142</v>
      </c>
      <c r="C30" s="129"/>
      <c r="D30" s="129"/>
      <c r="E30" s="39">
        <v>0</v>
      </c>
      <c r="F30" s="11" t="s">
        <v>3</v>
      </c>
      <c r="G30" s="1"/>
    </row>
    <row r="31" spans="1:7" x14ac:dyDescent="0.25">
      <c r="A31" s="1"/>
      <c r="B31" s="32" t="s">
        <v>123</v>
      </c>
      <c r="C31" s="27"/>
      <c r="D31" s="27"/>
      <c r="E31" s="27"/>
      <c r="F31" s="27"/>
      <c r="G31" s="1"/>
    </row>
    <row r="32" spans="1:7" ht="15.4" customHeight="1" x14ac:dyDescent="0.25">
      <c r="A32" s="1"/>
      <c r="B32" s="128" t="s">
        <v>123</v>
      </c>
      <c r="C32" s="129"/>
      <c r="D32" s="130"/>
      <c r="E32" s="10">
        <v>986586.11480802996</v>
      </c>
      <c r="F32" s="11" t="s">
        <v>3</v>
      </c>
      <c r="G32" s="1"/>
    </row>
    <row r="33" spans="1:7" ht="15.4" customHeight="1" x14ac:dyDescent="0.25">
      <c r="A33" s="1"/>
      <c r="B33" s="131" t="s">
        <v>175</v>
      </c>
      <c r="C33" s="132"/>
      <c r="D33" s="132"/>
      <c r="E33" s="132"/>
      <c r="F33" s="133"/>
      <c r="G33" s="1"/>
    </row>
    <row r="34" spans="1:7" ht="15.4" customHeight="1" x14ac:dyDescent="0.25">
      <c r="A34" s="1"/>
      <c r="B34" s="95" t="s">
        <v>176</v>
      </c>
      <c r="C34" s="10"/>
      <c r="D34" s="11"/>
      <c r="E34" s="10">
        <f>'Fane 8. Skattesagen'!G11</f>
        <v>0</v>
      </c>
      <c r="F34" s="11" t="s">
        <v>3</v>
      </c>
      <c r="G34" s="1"/>
    </row>
    <row r="35" spans="1:7" x14ac:dyDescent="0.25">
      <c r="A35" s="1"/>
      <c r="B35" s="55" t="s">
        <v>218</v>
      </c>
      <c r="C35" s="56"/>
      <c r="D35" s="19"/>
      <c r="E35" s="45">
        <f>SUM(E32,E30,E28,E24,E22,E20,E34)</f>
        <v>68065435.085555509</v>
      </c>
      <c r="F35" s="52" t="s">
        <v>3</v>
      </c>
      <c r="G35" s="1"/>
    </row>
    <row r="36" spans="1:7" ht="27" customHeight="1" x14ac:dyDescent="0.25">
      <c r="A36" s="1"/>
      <c r="B36" s="121" t="s">
        <v>222</v>
      </c>
      <c r="C36" s="122"/>
      <c r="D36" s="122"/>
      <c r="E36" s="122"/>
      <c r="F36" s="12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4tbbokgFcTBwErpj3EVGj8n629nEt3KvmRq/PcnWr+M7Du/m3gBQ7Yuucn51wNDVrRQd4IAFLmmnnWJ0f9OQqg==" saltValue="UEV6gH6xAcrLdGwJ44HP1Q=="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140625" style="2" customWidth="1"/>
    <col min="2" max="5" width="9.140625" style="2"/>
    <col min="6" max="6" width="23.5703125" style="2" customWidth="1"/>
    <col min="7" max="7" width="16.28515625" style="2" customWidth="1"/>
    <col min="8" max="8" width="3.42578125" style="2" customWidth="1"/>
    <col min="9" max="9" width="2"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4" t="s">
        <v>109</v>
      </c>
      <c r="C2" s="124"/>
      <c r="D2" s="124"/>
      <c r="E2" s="124"/>
      <c r="F2" s="124"/>
      <c r="G2" s="124"/>
      <c r="H2" s="124"/>
      <c r="I2" s="1"/>
    </row>
    <row r="3" spans="1:9" ht="28.5" customHeight="1" x14ac:dyDescent="0.25">
      <c r="A3" s="1"/>
      <c r="B3" s="124"/>
      <c r="C3" s="124"/>
      <c r="D3" s="124"/>
      <c r="E3" s="124"/>
      <c r="F3" s="124"/>
      <c r="G3" s="124"/>
      <c r="H3" s="124"/>
      <c r="I3" s="1"/>
    </row>
    <row r="4" spans="1:9" x14ac:dyDescent="0.25">
      <c r="A4" s="1"/>
      <c r="B4" s="131" t="s">
        <v>52</v>
      </c>
      <c r="C4" s="132"/>
      <c r="D4" s="132"/>
      <c r="E4" s="132"/>
      <c r="F4" s="132"/>
      <c r="G4" s="132"/>
      <c r="H4" s="133"/>
      <c r="I4" s="1"/>
    </row>
    <row r="5" spans="1:9" x14ac:dyDescent="0.25">
      <c r="A5" s="1"/>
      <c r="B5" s="136" t="s">
        <v>41</v>
      </c>
      <c r="C5" s="137"/>
      <c r="D5" s="137"/>
      <c r="E5" s="137"/>
      <c r="F5" s="138"/>
      <c r="G5" s="76">
        <v>21727577.420105297</v>
      </c>
      <c r="H5" s="14" t="s">
        <v>3</v>
      </c>
      <c r="I5" s="1"/>
    </row>
    <row r="6" spans="1:9" x14ac:dyDescent="0.25">
      <c r="A6" s="1"/>
      <c r="B6" s="121" t="s">
        <v>120</v>
      </c>
      <c r="C6" s="122"/>
      <c r="D6" s="122"/>
      <c r="E6" s="122"/>
      <c r="F6" s="123"/>
      <c r="G6" s="77">
        <v>4875127.1650594948</v>
      </c>
      <c r="H6" s="14" t="s">
        <v>3</v>
      </c>
      <c r="I6" s="1"/>
    </row>
    <row r="7" spans="1:9" x14ac:dyDescent="0.25">
      <c r="A7" s="1"/>
      <c r="B7" s="136" t="s">
        <v>42</v>
      </c>
      <c r="C7" s="137"/>
      <c r="D7" s="137"/>
      <c r="E7" s="137"/>
      <c r="F7" s="138"/>
      <c r="G7" s="76">
        <f>SUM(G5:G6)*'Fane 15. Nøgletal'!C31</f>
        <v>532054.09170329582</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39"/>
      <c r="H10" s="133"/>
      <c r="I10" s="1"/>
    </row>
    <row r="11" spans="1:9" x14ac:dyDescent="0.25">
      <c r="A11" s="1"/>
      <c r="B11" s="136" t="s">
        <v>43</v>
      </c>
      <c r="C11" s="137"/>
      <c r="D11" s="137"/>
      <c r="E11" s="137"/>
      <c r="F11" s="138"/>
      <c r="G11" s="76">
        <f>(G5-G7)*(1+'Fane 15. Nøgletal'!C10)</f>
        <v>21566444.986649036</v>
      </c>
      <c r="H11" s="14" t="s">
        <v>3</v>
      </c>
      <c r="I11" s="1"/>
    </row>
    <row r="12" spans="1:9" ht="15" customHeight="1" x14ac:dyDescent="0.25">
      <c r="A12" s="1"/>
      <c r="B12" s="136" t="s">
        <v>121</v>
      </c>
      <c r="C12" s="137"/>
      <c r="D12" s="137"/>
      <c r="E12" s="137"/>
      <c r="F12" s="138"/>
      <c r="G12" s="77">
        <v>2.8428621590137484E-9</v>
      </c>
      <c r="H12" s="14" t="s">
        <v>3</v>
      </c>
      <c r="I12" s="1"/>
    </row>
    <row r="13" spans="1:9" x14ac:dyDescent="0.25">
      <c r="A13" s="1"/>
      <c r="B13" s="121" t="s">
        <v>118</v>
      </c>
      <c r="C13" s="122"/>
      <c r="D13" s="122"/>
      <c r="E13" s="122"/>
      <c r="F13" s="123"/>
      <c r="G13" s="77">
        <v>1931623.0175000001</v>
      </c>
      <c r="H13" s="14" t="s">
        <v>3</v>
      </c>
      <c r="I13" s="1"/>
    </row>
    <row r="14" spans="1:9" x14ac:dyDescent="0.25">
      <c r="A14" s="1"/>
      <c r="B14" s="143" t="s">
        <v>44</v>
      </c>
      <c r="C14" s="144"/>
      <c r="D14" s="144"/>
      <c r="E14" s="144"/>
      <c r="F14" s="145"/>
      <c r="G14" s="77">
        <v>0</v>
      </c>
      <c r="H14" s="14" t="s">
        <v>3</v>
      </c>
      <c r="I14" s="1"/>
    </row>
    <row r="15" spans="1:9" x14ac:dyDescent="0.25">
      <c r="A15" s="1"/>
      <c r="B15" s="136" t="s">
        <v>45</v>
      </c>
      <c r="C15" s="137"/>
      <c r="D15" s="137"/>
      <c r="E15" s="137"/>
      <c r="F15" s="138"/>
      <c r="G15" s="76">
        <f>SUM(G11:G14)*'Fane 15. Nøgletal'!C31</f>
        <v>469961.36008298083</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39"/>
      <c r="H18" s="133"/>
      <c r="I18" s="1"/>
    </row>
    <row r="19" spans="1:9" x14ac:dyDescent="0.25">
      <c r="A19" s="1"/>
      <c r="B19" s="136" t="s">
        <v>46</v>
      </c>
      <c r="C19" s="137"/>
      <c r="D19" s="137"/>
      <c r="E19" s="137"/>
      <c r="F19" s="138"/>
      <c r="G19" s="76">
        <f>(SUM(G11:G12,G14)-(G15))*(1+'Fane 15. Nøgletal'!C10)</f>
        <v>21465672.090030968</v>
      </c>
      <c r="H19" s="14" t="s">
        <v>3</v>
      </c>
      <c r="I19" s="1"/>
    </row>
    <row r="20" spans="1:9" x14ac:dyDescent="0.25">
      <c r="A20" s="1"/>
      <c r="B20" s="143" t="s">
        <v>47</v>
      </c>
      <c r="C20" s="144"/>
      <c r="D20" s="144"/>
      <c r="E20" s="144"/>
      <c r="F20" s="145"/>
      <c r="G20" s="77">
        <v>0</v>
      </c>
      <c r="H20" s="14" t="s">
        <v>3</v>
      </c>
      <c r="I20" s="1"/>
    </row>
    <row r="21" spans="1:9" x14ac:dyDescent="0.25">
      <c r="A21" s="1"/>
      <c r="B21" s="136" t="s">
        <v>48</v>
      </c>
      <c r="C21" s="137"/>
      <c r="D21" s="137"/>
      <c r="E21" s="137"/>
      <c r="F21" s="138"/>
      <c r="G21" s="76">
        <f>SUM(G19:G20)*'Fane 15. Nøgletal'!C31</f>
        <v>429313.44180061936</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39"/>
      <c r="H24" s="133"/>
      <c r="I24" s="1"/>
    </row>
    <row r="25" spans="1:9" x14ac:dyDescent="0.25">
      <c r="A25" s="1"/>
      <c r="B25" s="136" t="s">
        <v>49</v>
      </c>
      <c r="C25" s="137"/>
      <c r="D25" s="137"/>
      <c r="E25" s="137"/>
      <c r="F25" s="138"/>
      <c r="G25" s="76">
        <f>(G19+G20-G21)*(1+'Fane 15. Nøgletal'!C12)</f>
        <v>21450774.913600486</v>
      </c>
      <c r="H25" s="14" t="s">
        <v>3</v>
      </c>
      <c r="I25" s="1"/>
    </row>
    <row r="26" spans="1:9" x14ac:dyDescent="0.25">
      <c r="A26" s="1"/>
      <c r="B26" s="143" t="s">
        <v>50</v>
      </c>
      <c r="C26" s="144"/>
      <c r="D26" s="144"/>
      <c r="E26" s="144"/>
      <c r="F26" s="145"/>
      <c r="G26" s="77">
        <v>218296.23097887004</v>
      </c>
      <c r="H26" s="14" t="s">
        <v>3</v>
      </c>
      <c r="I26" s="1"/>
    </row>
    <row r="27" spans="1:9" x14ac:dyDescent="0.25">
      <c r="A27" s="1"/>
      <c r="B27" s="136" t="s">
        <v>51</v>
      </c>
      <c r="C27" s="137"/>
      <c r="D27" s="137"/>
      <c r="E27" s="137"/>
      <c r="F27" s="138"/>
      <c r="G27" s="76">
        <f>(G25+G26)*'Fane 15. Nøgletal'!C31</f>
        <v>433381.42289158708</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39"/>
      <c r="H30" s="133"/>
      <c r="I30" s="1"/>
    </row>
    <row r="31" spans="1:9" x14ac:dyDescent="0.25">
      <c r="A31" s="1"/>
      <c r="B31" s="136" t="s">
        <v>59</v>
      </c>
      <c r="C31" s="137"/>
      <c r="D31" s="137"/>
      <c r="E31" s="137"/>
      <c r="F31" s="138"/>
      <c r="G31" s="76">
        <f>(G25+G26-G27)*(1+'Fane 15. Nøgletal'!C12)</f>
        <v>21654032.809205018</v>
      </c>
      <c r="H31" s="14" t="s">
        <v>3</v>
      </c>
      <c r="I31" s="1"/>
    </row>
    <row r="32" spans="1:9" x14ac:dyDescent="0.25">
      <c r="A32" s="1"/>
      <c r="B32" s="136" t="s">
        <v>137</v>
      </c>
      <c r="C32" s="137"/>
      <c r="D32" s="137"/>
      <c r="E32" s="137"/>
      <c r="F32" s="138"/>
      <c r="G32" s="76">
        <v>43304.605820279998</v>
      </c>
      <c r="H32" s="14" t="s">
        <v>3</v>
      </c>
      <c r="I32" s="1"/>
    </row>
    <row r="33" spans="1:9" x14ac:dyDescent="0.25">
      <c r="A33" s="1"/>
      <c r="B33" s="136" t="s">
        <v>60</v>
      </c>
      <c r="C33" s="137"/>
      <c r="D33" s="137"/>
      <c r="E33" s="137"/>
      <c r="F33" s="138"/>
      <c r="G33" s="76">
        <f>(G31+G32)*'Fane 15. Nøgletal'!C31</f>
        <v>433946.74830050598</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39"/>
      <c r="H36" s="133"/>
      <c r="I36" s="1"/>
    </row>
    <row r="37" spans="1:9" x14ac:dyDescent="0.25">
      <c r="A37" s="1"/>
      <c r="B37" s="136" t="s">
        <v>79</v>
      </c>
      <c r="C37" s="137"/>
      <c r="D37" s="137"/>
      <c r="E37" s="137"/>
      <c r="F37" s="138"/>
      <c r="G37" s="76">
        <f>(G31+G32-G33)*(1+'Fane 15. Nøgletal'!C14)</f>
        <v>21333559.855924983</v>
      </c>
      <c r="H37" s="14" t="s">
        <v>3</v>
      </c>
      <c r="I37" s="1"/>
    </row>
    <row r="38" spans="1:9" x14ac:dyDescent="0.25">
      <c r="A38" s="1"/>
      <c r="B38" s="136" t="s">
        <v>164</v>
      </c>
      <c r="C38" s="137"/>
      <c r="D38" s="137"/>
      <c r="E38" s="137"/>
      <c r="F38" s="138"/>
      <c r="G38" s="76">
        <v>230411.21949922005</v>
      </c>
      <c r="H38" s="14" t="s">
        <v>3</v>
      </c>
      <c r="I38" s="1"/>
    </row>
    <row r="39" spans="1:9" x14ac:dyDescent="0.25">
      <c r="A39" s="1"/>
      <c r="B39" s="136" t="s">
        <v>162</v>
      </c>
      <c r="C39" s="137"/>
      <c r="D39" s="137"/>
      <c r="E39" s="137"/>
      <c r="F39" s="138"/>
      <c r="G39" s="76">
        <f>(G37+G38)*'Fane 15. Nøgletal'!C31</f>
        <v>431279.42150848405</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39"/>
      <c r="H42" s="133"/>
      <c r="I42" s="1"/>
    </row>
    <row r="43" spans="1:9" x14ac:dyDescent="0.25">
      <c r="A43" s="1"/>
      <c r="B43" s="136" t="s">
        <v>228</v>
      </c>
      <c r="C43" s="137"/>
      <c r="D43" s="137"/>
      <c r="E43" s="137"/>
      <c r="F43" s="138"/>
      <c r="G43" s="76">
        <f>(G37+G38-G39)*(1+'Fane 15. Nøgletal'!C14)</f>
        <v>21202429.536373641</v>
      </c>
      <c r="H43" s="14" t="s">
        <v>3</v>
      </c>
      <c r="I43" s="1"/>
    </row>
    <row r="44" spans="1:9" x14ac:dyDescent="0.25">
      <c r="A44" s="1"/>
      <c r="B44" s="140" t="s">
        <v>230</v>
      </c>
      <c r="C44" s="141"/>
      <c r="D44" s="141"/>
      <c r="E44" s="141"/>
      <c r="F44" s="142"/>
      <c r="G44" s="80">
        <f>('Fane 2.1. Økonomisk ramme 2023'!C10+'Fane 2.1. Økonomisk ramme 2023'!C12+'Fane 2.1. Økonomisk ramme 2023'!C14)*(1+'Fane 15. Nøgletal'!C15)</f>
        <v>317553.29542656004</v>
      </c>
      <c r="H44" s="14" t="s">
        <v>3</v>
      </c>
      <c r="I44" s="1"/>
    </row>
    <row r="45" spans="1:9" x14ac:dyDescent="0.25">
      <c r="A45" s="1"/>
      <c r="B45" s="136" t="s">
        <v>163</v>
      </c>
      <c r="C45" s="137"/>
      <c r="D45" s="137"/>
      <c r="E45" s="137"/>
      <c r="F45" s="138"/>
      <c r="G45" s="76">
        <f>SUM(G43:G44)*'Fane 15. Nøgletal'!C31</f>
        <v>430399.65663600399</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39"/>
      <c r="H51" s="133"/>
      <c r="I51" s="1"/>
    </row>
    <row r="52" spans="1:9" x14ac:dyDescent="0.25">
      <c r="A52" s="1"/>
      <c r="B52" s="136" t="s">
        <v>227</v>
      </c>
      <c r="C52" s="137"/>
      <c r="D52" s="137"/>
      <c r="E52" s="137"/>
      <c r="F52" s="138"/>
      <c r="G52" s="76">
        <f>(G43+G44-G45)*(1+'Fane 15. Nøgletal'!C15)</f>
        <v>21840372.336200044</v>
      </c>
      <c r="H52" s="14" t="s">
        <v>3</v>
      </c>
      <c r="I52" s="1"/>
    </row>
    <row r="53" spans="1:9" x14ac:dyDescent="0.25">
      <c r="A53" s="1"/>
      <c r="B53" s="136" t="s">
        <v>138</v>
      </c>
      <c r="C53" s="137"/>
      <c r="D53" s="137"/>
      <c r="E53" s="137"/>
      <c r="F53" s="138"/>
      <c r="G53" s="76">
        <f>(G52)*'Fane 15. Nøgletal'!C31</f>
        <v>436807.44672400085</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39"/>
      <c r="H56" s="133"/>
      <c r="I56" s="1"/>
    </row>
    <row r="57" spans="1:9" x14ac:dyDescent="0.25">
      <c r="A57" s="1"/>
      <c r="B57" s="91" t="s">
        <v>151</v>
      </c>
      <c r="C57" s="92"/>
      <c r="D57" s="92"/>
      <c r="E57" s="92"/>
      <c r="F57" s="93"/>
      <c r="G57" s="76">
        <f>(G52-G53)*(1+'Fane 15. Nøgletal'!C15)</f>
        <v>22165531.799541391</v>
      </c>
      <c r="H57" s="14" t="s">
        <v>3</v>
      </c>
      <c r="I57" s="1"/>
    </row>
    <row r="58" spans="1:9" x14ac:dyDescent="0.25">
      <c r="A58" s="1"/>
      <c r="B58" s="91" t="s">
        <v>152</v>
      </c>
      <c r="C58" s="92"/>
      <c r="D58" s="92"/>
      <c r="E58" s="92"/>
      <c r="F58" s="93"/>
      <c r="G58" s="76">
        <f>(G57)*'Fane 15. Nøgletal'!C31</f>
        <v>443310.63599082781</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39"/>
      <c r="H61" s="133"/>
      <c r="I61" s="1"/>
    </row>
    <row r="62" spans="1:9" x14ac:dyDescent="0.25">
      <c r="A62" s="1"/>
      <c r="B62" s="91" t="s">
        <v>194</v>
      </c>
      <c r="C62" s="92"/>
      <c r="D62" s="92"/>
      <c r="E62" s="92"/>
      <c r="F62" s="93"/>
      <c r="G62" s="76">
        <f>(G57-G58)*(1+'Fane 15. Nøgletal'!C15)</f>
        <v>22495532.236972965</v>
      </c>
      <c r="H62" s="14" t="s">
        <v>3</v>
      </c>
      <c r="I62" s="1"/>
    </row>
    <row r="63" spans="1:9" x14ac:dyDescent="0.25">
      <c r="A63" s="1"/>
      <c r="B63" s="91" t="s">
        <v>195</v>
      </c>
      <c r="C63" s="92"/>
      <c r="D63" s="92"/>
      <c r="E63" s="92"/>
      <c r="F63" s="93"/>
      <c r="G63" s="76">
        <f>(G62)*'Fane 15. Nøgletal'!C31</f>
        <v>449910.64473945933</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D8rEgtYFZ7Y2ff7lolIxge7Ji5qhsF0BiSY2pS2WkHkYJyUDYDrv8h6F8qjXYAQK6NqniR3FP8HyMwSaThlfxA==" saltValue="OH92dA1zketqsvISKgftng=="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1.85546875" style="2" customWidth="1"/>
    <col min="2" max="5" width="9.140625" style="2"/>
    <col min="6" max="6" width="27" style="2" customWidth="1"/>
    <col min="7" max="7" width="14.140625" style="2" customWidth="1"/>
    <col min="8" max="8" width="3.28515625" style="2" customWidth="1"/>
    <col min="9" max="9" width="2.14062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31" t="s">
        <v>56</v>
      </c>
      <c r="C4" s="132"/>
      <c r="D4" s="132"/>
      <c r="E4" s="132"/>
      <c r="F4" s="132"/>
      <c r="G4" s="132"/>
      <c r="H4" s="133"/>
      <c r="I4" s="1"/>
    </row>
    <row r="5" spans="1:9" x14ac:dyDescent="0.25">
      <c r="A5" s="1"/>
      <c r="B5" s="136" t="s">
        <v>61</v>
      </c>
      <c r="C5" s="137"/>
      <c r="D5" s="137"/>
      <c r="E5" s="137"/>
      <c r="F5" s="138"/>
      <c r="G5" s="76">
        <v>42813702.291597784</v>
      </c>
      <c r="H5" s="14" t="s">
        <v>3</v>
      </c>
      <c r="I5" s="1"/>
    </row>
    <row r="6" spans="1:9" x14ac:dyDescent="0.25">
      <c r="A6" s="1"/>
      <c r="B6" s="136" t="s">
        <v>57</v>
      </c>
      <c r="C6" s="137"/>
      <c r="D6" s="137"/>
      <c r="E6" s="137"/>
      <c r="F6" s="138"/>
      <c r="G6" s="76">
        <f>G5*'Fane 15. Nøgletal'!C20</f>
        <v>389604.69085353985</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39"/>
      <c r="H9" s="133"/>
      <c r="I9" s="1"/>
    </row>
    <row r="10" spans="1:9" x14ac:dyDescent="0.25">
      <c r="A10" s="1"/>
      <c r="B10" s="136" t="s">
        <v>63</v>
      </c>
      <c r="C10" s="137"/>
      <c r="D10" s="137"/>
      <c r="E10" s="137"/>
      <c r="F10" s="138"/>
      <c r="G10" s="76">
        <f>(G5-G6)*(1+'Fane 15. Nøgletal'!C10)</f>
        <v>43166519.308757275</v>
      </c>
      <c r="H10" s="14" t="s">
        <v>3</v>
      </c>
      <c r="I10" s="1"/>
    </row>
    <row r="11" spans="1:9" x14ac:dyDescent="0.25">
      <c r="A11" s="1"/>
      <c r="B11" s="136" t="s">
        <v>122</v>
      </c>
      <c r="C11" s="137"/>
      <c r="D11" s="137"/>
      <c r="E11" s="137"/>
      <c r="F11" s="138"/>
      <c r="G11" s="76">
        <v>1420932.8283779216</v>
      </c>
      <c r="H11" s="14" t="s">
        <v>3</v>
      </c>
      <c r="I11" s="1"/>
    </row>
    <row r="12" spans="1:9" x14ac:dyDescent="0.25">
      <c r="A12" s="1"/>
      <c r="B12" s="143" t="s">
        <v>64</v>
      </c>
      <c r="C12" s="144"/>
      <c r="D12" s="144"/>
      <c r="E12" s="144"/>
      <c r="F12" s="145"/>
      <c r="G12" s="77">
        <v>0</v>
      </c>
      <c r="H12" s="14" t="s">
        <v>3</v>
      </c>
      <c r="I12" s="1"/>
    </row>
    <row r="13" spans="1:9" x14ac:dyDescent="0.25">
      <c r="A13" s="1"/>
      <c r="B13" s="136" t="s">
        <v>65</v>
      </c>
      <c r="C13" s="137"/>
      <c r="D13" s="137"/>
      <c r="E13" s="137"/>
      <c r="F13" s="138"/>
      <c r="G13" s="76">
        <f>SUM(G10:G12)*'Fane 15. Nøgletal'!C21</f>
        <v>789197.90282729303</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39"/>
      <c r="H16" s="133"/>
      <c r="I16" s="1"/>
    </row>
    <row r="17" spans="1:9" x14ac:dyDescent="0.25">
      <c r="A17" s="1"/>
      <c r="B17" s="136" t="s">
        <v>67</v>
      </c>
      <c r="C17" s="137"/>
      <c r="D17" s="137"/>
      <c r="E17" s="137"/>
      <c r="F17" s="138"/>
      <c r="G17" s="76">
        <f>(SUM(G10:G12)-G13)*(1+'Fane 15. Nøgletal'!C10)</f>
        <v>44564723.683408298</v>
      </c>
      <c r="H17" s="14" t="s">
        <v>3</v>
      </c>
      <c r="I17" s="1"/>
    </row>
    <row r="18" spans="1:9" x14ac:dyDescent="0.25">
      <c r="A18" s="1"/>
      <c r="B18" s="143" t="s">
        <v>68</v>
      </c>
      <c r="C18" s="144"/>
      <c r="D18" s="144"/>
      <c r="E18" s="144"/>
      <c r="F18" s="145"/>
      <c r="G18" s="76">
        <v>147175.20035763996</v>
      </c>
      <c r="H18" s="14" t="s">
        <v>3</v>
      </c>
      <c r="I18" s="1"/>
    </row>
    <row r="19" spans="1:9" x14ac:dyDescent="0.25">
      <c r="A19" s="1"/>
      <c r="B19" s="136" t="s">
        <v>69</v>
      </c>
      <c r="C19" s="137"/>
      <c r="D19" s="137"/>
      <c r="E19" s="137"/>
      <c r="F19" s="138"/>
      <c r="G19" s="76">
        <f>G17*'Fane 15. Nøgletal'!C21+G18*'Fane 15. Nøgletal'!C22</f>
        <v>790076.03343943844</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39"/>
      <c r="H22" s="133"/>
      <c r="I22" s="1"/>
    </row>
    <row r="23" spans="1:9" x14ac:dyDescent="0.25">
      <c r="A23" s="1"/>
      <c r="B23" s="136" t="s">
        <v>71</v>
      </c>
      <c r="C23" s="137"/>
      <c r="D23" s="137"/>
      <c r="E23" s="137"/>
      <c r="F23" s="138"/>
      <c r="G23" s="76">
        <f>(G17+G18-G19)*(1+'Fane 15. Nøgletal'!C12)</f>
        <v>44787082.760477938</v>
      </c>
      <c r="H23" s="14" t="s">
        <v>3</v>
      </c>
      <c r="I23" s="1"/>
    </row>
    <row r="24" spans="1:9" x14ac:dyDescent="0.25">
      <c r="A24" s="1"/>
      <c r="B24" s="143" t="s">
        <v>72</v>
      </c>
      <c r="C24" s="144"/>
      <c r="D24" s="144"/>
      <c r="E24" s="144"/>
      <c r="F24" s="145"/>
      <c r="G24" s="76">
        <v>388184.43423573009</v>
      </c>
      <c r="H24" s="14" t="s">
        <v>3</v>
      </c>
      <c r="I24" s="1"/>
    </row>
    <row r="25" spans="1:9" x14ac:dyDescent="0.25">
      <c r="A25" s="1"/>
      <c r="B25" s="136" t="s">
        <v>73</v>
      </c>
      <c r="C25" s="137"/>
      <c r="D25" s="137"/>
      <c r="E25" s="137"/>
      <c r="F25" s="138"/>
      <c r="G25" s="76">
        <f>(G23+G24)*'Fane 15. Nøgletal'!C23</f>
        <v>1282977.5883298682</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39"/>
      <c r="H28" s="133"/>
      <c r="I28" s="1"/>
    </row>
    <row r="29" spans="1:9" x14ac:dyDescent="0.25">
      <c r="A29" s="1"/>
      <c r="B29" s="136" t="s">
        <v>75</v>
      </c>
      <c r="C29" s="137"/>
      <c r="D29" s="137"/>
      <c r="E29" s="137"/>
      <c r="F29" s="138"/>
      <c r="G29" s="76">
        <f>(G23+G24-G25)*(1+'Fane 15. Nøgletal'!C12)</f>
        <v>44756967.711629562</v>
      </c>
      <c r="H29" s="14" t="s">
        <v>3</v>
      </c>
      <c r="I29" s="1"/>
    </row>
    <row r="30" spans="1:9" x14ac:dyDescent="0.25">
      <c r="A30" s="1"/>
      <c r="B30" s="136" t="s">
        <v>139</v>
      </c>
      <c r="C30" s="137"/>
      <c r="D30" s="137"/>
      <c r="E30" s="137"/>
      <c r="F30" s="138"/>
      <c r="G30" s="76">
        <v>59881.806051479994</v>
      </c>
      <c r="H30" s="14" t="s">
        <v>3</v>
      </c>
      <c r="I30" s="1"/>
    </row>
    <row r="31" spans="1:9" x14ac:dyDescent="0.25">
      <c r="A31" s="1"/>
      <c r="B31" s="136" t="s">
        <v>76</v>
      </c>
      <c r="C31" s="137"/>
      <c r="D31" s="137"/>
      <c r="E31" s="137"/>
      <c r="F31" s="138"/>
      <c r="G31" s="76">
        <f>G29*'Fane 15. Nøgletal'!C23+G30*'Fane 15. Nøgletal'!C24</f>
        <v>1272744.6326766952</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39"/>
      <c r="H34" s="133"/>
      <c r="I34" s="1"/>
    </row>
    <row r="35" spans="1:9" x14ac:dyDescent="0.25">
      <c r="A35" s="1"/>
      <c r="B35" s="136" t="s">
        <v>78</v>
      </c>
      <c r="C35" s="137"/>
      <c r="D35" s="137"/>
      <c r="E35" s="137"/>
      <c r="F35" s="138"/>
      <c r="G35" s="76">
        <f>(G29+G30-G31)*(1+'Fane 15. Nøgletal'!C14)</f>
        <v>43687800.431124859</v>
      </c>
      <c r="H35" s="14" t="s">
        <v>3</v>
      </c>
      <c r="I35" s="1"/>
    </row>
    <row r="36" spans="1:9" x14ac:dyDescent="0.25">
      <c r="A36" s="1"/>
      <c r="B36" s="136" t="s">
        <v>167</v>
      </c>
      <c r="C36" s="137"/>
      <c r="D36" s="137"/>
      <c r="E36" s="137"/>
      <c r="F36" s="138"/>
      <c r="G36" s="76">
        <v>37247.622762670006</v>
      </c>
      <c r="H36" s="14" t="s">
        <v>3</v>
      </c>
      <c r="I36" s="1"/>
    </row>
    <row r="37" spans="1:9" x14ac:dyDescent="0.25">
      <c r="A37" s="1"/>
      <c r="B37" s="136" t="s">
        <v>166</v>
      </c>
      <c r="C37" s="137"/>
      <c r="D37" s="137"/>
      <c r="E37" s="137"/>
      <c r="F37" s="138"/>
      <c r="G37" s="76">
        <f>(G35+G36)*'Fane 15. Nøgletal'!C25</f>
        <v>647130.71119753551</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39"/>
      <c r="H40" s="133"/>
      <c r="I40" s="1"/>
    </row>
    <row r="41" spans="1:9" x14ac:dyDescent="0.25">
      <c r="A41" s="1"/>
      <c r="B41" s="136" t="s">
        <v>77</v>
      </c>
      <c r="C41" s="137"/>
      <c r="D41" s="137"/>
      <c r="E41" s="137"/>
      <c r="F41" s="138"/>
      <c r="G41" s="76">
        <f>(G35+G36-G37)*(1+'Fane 15. Nøgletal'!C14)</f>
        <v>43220074.469920881</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502285.7981865601</v>
      </c>
      <c r="H42" s="14" t="s">
        <v>3</v>
      </c>
      <c r="I42" s="1"/>
    </row>
    <row r="43" spans="1:9" x14ac:dyDescent="0.25">
      <c r="A43" s="1"/>
      <c r="B43" s="136" t="s">
        <v>168</v>
      </c>
      <c r="C43" s="137"/>
      <c r="D43" s="137"/>
      <c r="E43" s="137"/>
      <c r="F43" s="138"/>
      <c r="G43" s="76">
        <f>(G41)*'Fane 15. Nøgletal'!C25+G42*'Fane 15. Nøgletal'!C26</f>
        <v>639657.10215482907</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39"/>
      <c r="H52" s="133"/>
      <c r="I52" s="1"/>
    </row>
    <row r="53" spans="1:9" x14ac:dyDescent="0.25">
      <c r="A53" s="1"/>
      <c r="B53" s="136" t="s">
        <v>140</v>
      </c>
      <c r="C53" s="137"/>
      <c r="D53" s="137"/>
      <c r="E53" s="137"/>
      <c r="F53" s="138"/>
      <c r="G53" s="76">
        <f>(G41+G42-G43)*(1+'Fane 15. Nøgletal'!C15)</f>
        <v>44616447.398660533</v>
      </c>
      <c r="H53" s="14" t="s">
        <v>3</v>
      </c>
      <c r="I53" s="1"/>
    </row>
    <row r="54" spans="1:9" x14ac:dyDescent="0.25">
      <c r="A54" s="1"/>
      <c r="B54" s="136" t="s">
        <v>141</v>
      </c>
      <c r="C54" s="137"/>
      <c r="D54" s="137"/>
      <c r="E54" s="137"/>
      <c r="F54" s="138"/>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39"/>
      <c r="H57" s="133"/>
      <c r="I57" s="1"/>
    </row>
    <row r="58" spans="1:9" x14ac:dyDescent="0.25">
      <c r="A58" s="1"/>
      <c r="B58" s="136" t="s">
        <v>173</v>
      </c>
      <c r="C58" s="137"/>
      <c r="D58" s="137"/>
      <c r="E58" s="137"/>
      <c r="F58" s="138"/>
      <c r="G58" s="76">
        <f>(G53-G54)*(1+'Fane 15. Nøgletal'!C15)</f>
        <v>46204792.926052853</v>
      </c>
      <c r="H58" s="14" t="s">
        <v>3</v>
      </c>
      <c r="I58" s="1"/>
    </row>
    <row r="59" spans="1:9" x14ac:dyDescent="0.25">
      <c r="A59" s="1"/>
      <c r="B59" s="136" t="s">
        <v>174</v>
      </c>
      <c r="C59" s="137"/>
      <c r="D59" s="137"/>
      <c r="E59" s="137"/>
      <c r="F59" s="138"/>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39"/>
      <c r="H62" s="133"/>
      <c r="I62" s="1"/>
    </row>
    <row r="63" spans="1:9" x14ac:dyDescent="0.25">
      <c r="A63" s="1"/>
      <c r="B63" s="136" t="s">
        <v>197</v>
      </c>
      <c r="C63" s="137"/>
      <c r="D63" s="137"/>
      <c r="E63" s="137"/>
      <c r="F63" s="138"/>
      <c r="G63" s="76">
        <f>(G58-G59)*(1+'Fane 15. Nøgletal'!C15)</f>
        <v>47849683.554220341</v>
      </c>
      <c r="H63" s="14" t="s">
        <v>3</v>
      </c>
      <c r="I63" s="1"/>
    </row>
    <row r="64" spans="1:9" x14ac:dyDescent="0.25">
      <c r="A64" s="1"/>
      <c r="B64" s="136" t="s">
        <v>198</v>
      </c>
      <c r="C64" s="137"/>
      <c r="D64" s="137"/>
      <c r="E64" s="137"/>
      <c r="F64" s="138"/>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Z9aRrLnpb9q6dnMas5khsXMfJ/AhyzMRnNJ97A3ifgWQaeOm4Oqi1VSKT+f+5sh1yD9nJDhV4Hhq2xI0V01VAw==" saltValue="GQsZfCfV2vMAM62vTWa1BA=="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36" t="s">
        <v>154</v>
      </c>
      <c r="C9" s="137"/>
      <c r="D9" s="137"/>
      <c r="E9" s="137"/>
      <c r="F9" s="138"/>
      <c r="G9" s="35">
        <v>6.2824205239484423E-3</v>
      </c>
      <c r="H9" s="1"/>
    </row>
    <row r="10" spans="1:8" x14ac:dyDescent="0.25">
      <c r="A10" s="1"/>
      <c r="B10" s="32"/>
      <c r="C10" s="27"/>
      <c r="D10" s="27"/>
      <c r="E10" s="27"/>
      <c r="F10" s="27"/>
      <c r="G10" s="19"/>
      <c r="H10" s="1"/>
    </row>
    <row r="11" spans="1:8" ht="29.25" customHeight="1" x14ac:dyDescent="0.25">
      <c r="A11" s="1"/>
      <c r="B11" s="148" t="s">
        <v>236</v>
      </c>
      <c r="C11" s="149"/>
      <c r="D11" s="149"/>
      <c r="E11" s="149"/>
      <c r="F11" s="149"/>
      <c r="G11" s="15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30X1HfHOhNcx0oMF0wGypSXrMzgkNmuZqvvm4V+YOfeRn0j5GDT/0jZUKWpi5GwBFsQ0ys9IQyBtPvpyik0w1A==" saltValue="qpm4i1RcV6kz0bVy78jb4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2022-12-06T11:21:29Z</dcterms:modified>
</cp:coreProperties>
</file>