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enne_projektmappe" defaultThemeVersion="124226"/>
  <mc:AlternateContent xmlns:mc="http://schemas.openxmlformats.org/markup-compatibility/2006">
    <mc:Choice Requires="x15">
      <x15ac:absPath xmlns:x15ac="http://schemas.microsoft.com/office/spreadsheetml/2010/11/ac" url="E:\VAND\Sagsbehandling\Drikkevand\Kalundborg Vandforsyning AS (V112)\ØR2025\"/>
    </mc:Choice>
  </mc:AlternateContent>
  <xr:revisionPtr revIDLastSave="0" documentId="13_ncr:1_{DF9625AF-2B18-4662-90C8-D81E5A6AA86D}"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9" i="37"/>
  <c r="E20" i="37" s="1"/>
  <c r="C19" i="37"/>
  <c r="C20"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<sst xmlns="http://schemas.openxmlformats.org/spreadsheetml/2006/main" count="459" uniqueCount="211">
  <si>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</si>
  <si>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</si>
  <si>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</si>
  <si>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</si>
  <si>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</si>
  <si>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</si>
  <si>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</si>
  <si>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</si>
  <si>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</si>
  <si>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</si>
  <si>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</si>
  <si>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</si>
  <si>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</si>
  <si>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</si>
  <si>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</si>
  <si>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</si>
  <si>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</si>
  <si>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</si>
  <si>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</si>
  <si>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</si>
  <si>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</si>
  <si>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</si>
  <si>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</si>
  <si>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</si>
  <si>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</si>
  <si>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</si>
  <si>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</si>
  <si>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</si>
  <si>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</si>
  <si>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</si>
  <si>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</si>
  <si>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</si>
  <si>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</si>
  <si>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</si>
  <si>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</si>
  <si>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</si>
  <si>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</si>
  <si>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</si>
  <si>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</si>
  <si>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</si>
  <si>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</si>
  <si>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</si>
  <si>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</si>
  <si>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</si>
  <si>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</si>
  <si>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</si>
  <si>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</si>
  <si>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</si>
  <si>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</si>
  <si>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</si>
  <si>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</si>
  <si>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</si>
  <si>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</si>
  <si>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</si>
  <si>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</si>
  <si>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</si>
  <si>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</si>
  <si>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</si>
  <si>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</si>
  <si>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</si>
  <si>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</si>
  <si>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</si>
  <si>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</si>
  <si>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</si>
  <si>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</si>
  <si>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</si>
  <si>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</si>
  <si>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</si>
  <si>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</si>
  <si>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</si>
  <si>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</si>
  <si>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</si>
  <si>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</si>
  <si>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</si>
  <si>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</si>
  <si>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</si>
  <si>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</si>
  <si>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</si>
  <si>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</si>
  <si>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</si>
  <si>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</si>
  <si>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</si>
  <si>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</si>
  <si>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</si>
  <si>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</si>
  <si>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</si>
  <si>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</si>
  <si>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</si>
  <si>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</si>
  <si>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</si>
  <si>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</si>
  <si>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</si>
  <si>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</si>
  <si>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</si>
  <si>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</si>
  <si>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</si>
  <si>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</si>
  <si>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</si>
  <si>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</si>
  <si>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</si>
  <si>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</si>
  <si>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</si>
  <si>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</si>
  <si>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</si>
  <si>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</si>
  <si>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</si>
  <si>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</si>
  <si>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</si>
  <si>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</si>
  <si>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</si>
  <si>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</si>
  <si>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</si>
  <si>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</si>
  <si>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</si>
  <si>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</si>
  <si>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</si>
  <si>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</si>
  <si>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</si>
  <si>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</si>
  <si>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</si>
  <si>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</si>
  <si>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</si>
  <si>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</si>
  <si>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</si>
  <si>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</si>
  <si>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</si>
  <si>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</si>
  <si>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</si>
  <si>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</si>
  <si>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</si>
  <si>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</si>
  <si>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</si>
  <si>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</si>
  <si>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</si>
  <si>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</si>
  <si>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</si>
  <si>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</si>
  <si>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</si>
  <si>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</si>
  <si>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</si>
  <si>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</si>
  <si>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</si>
  <si>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</si>
  <si>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</si>
  <si>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</si>
  <si>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</si>
  <si>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</si>
  <si>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</si>
  <si>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</si>
  <si>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</si>
  <si>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</si>
  <si>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</si>
  <si>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</si>
  <si>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</si>
  <si>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</si>
  <si>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</si>
  <si>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</si>
  <si>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</si>
  <si>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</si>
  <si>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</si>
  <si>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</si>
  <si>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</si>
  <si>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</si>
  <si>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</si>
  <si>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</si>
  <si>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</si>
  <si>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</si>
  <si>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</si>
  <si>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</si>
  <si>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</si>
  <si>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</si>
  <si>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</si>
  <si>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</si>
  <si>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</si>
  <si>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</si>
  <si>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</si>
  <si>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</si>
  <si>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</si>
  <si>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</si>
  <si>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</si>
  <si>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</si>
  <si>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</si>
  <si>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</si>
  <si>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</si>
  <si>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</si>
  <si>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</si>
  <si>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</si>
  <si>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</si>
  <si>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</si>
  <si>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</si>
  <si>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</si>
  <si>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</si>
  <si>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</si>
  <si>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</si>
  <si>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</si>
  <si>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</si>
  <si>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</si>
  <si>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</si>
  <si>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</si>
  <si>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Køb af ydelser og produkter fra andre vandselskaber reguleret af vandsektorloven</t>
  </si>
  <si>
    <t>Ejendomsskatter</t>
  </si>
  <si>
    <t>Tjenestemandspensioner</t>
  </si>
  <si>
    <t>Opgradering af Deigvad Vandværk</t>
  </si>
  <si>
    <t>Forundersøgelse til nye kildepladser</t>
  </si>
  <si>
    <t>Ingen engangstillæg</t>
  </si>
  <si>
    <t>Løgtved kildeplads etape 2</t>
  </si>
  <si>
    <t>Vandforsyningsplan Regulativer Grundvandssamarb</t>
  </si>
  <si>
    <t>Arbejde med øgede vandmængder NN</t>
  </si>
  <si>
    <t>VN - Øget Vandleverance</t>
  </si>
  <si>
    <t>Udvidelse af kapacitet</t>
  </si>
  <si>
    <t>Udvidelse til flere medarbejdere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</si>
</sst>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1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8" t="s">
        <v>4</v>
      </c>
      <c r="D6" s="78"/>
      <c r="E6" s="78"/>
      <c r="F6" s="78"/>
      <c r="G6" s="1"/>
    </row>
    <row r="7" spans="1:7" ht="15" customHeight="1" x14ac:dyDescent="0.25">
      <c r="A7" s="1"/>
      <c r="B7" s="3"/>
      <c r="C7" s="78"/>
      <c r="D7" s="78"/>
      <c r="E7" s="78"/>
      <c r="F7" s="78"/>
      <c r="G7" s="1"/>
    </row>
    <row r="8" spans="1:7" ht="15.75" x14ac:dyDescent="0.25">
      <c r="A8" s="1"/>
      <c r="B8" s="4"/>
      <c r="C8" s="83" t="s">
        <v>196</v>
      </c>
      <c r="D8" s="83"/>
      <c r="E8" s="83"/>
      <c r="F8" s="83"/>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2" t="s">
        <v>5</v>
      </c>
      <c r="D11" s="82"/>
      <c r="E11" s="82"/>
      <c r="F11" s="82"/>
      <c r="G11" s="1"/>
    </row>
    <row r="12" spans="1:7" x14ac:dyDescent="0.25">
      <c r="A12" s="1"/>
      <c r="B12" s="1"/>
      <c r="C12" s="1"/>
      <c r="D12" s="1"/>
      <c r="E12" s="1"/>
      <c r="F12" s="1"/>
      <c r="G12" s="1"/>
    </row>
    <row r="13" spans="1:7" x14ac:dyDescent="0.25">
      <c r="A13" s="1"/>
      <c r="B13" s="6" t="s">
        <v>6</v>
      </c>
      <c r="C13" s="75" t="s">
        <v>124</v>
      </c>
      <c r="D13" s="76"/>
      <c r="E13" s="76"/>
      <c r="F13" s="77"/>
      <c r="G13" s="1"/>
    </row>
    <row r="14" spans="1:7" x14ac:dyDescent="0.25">
      <c r="A14" s="1"/>
      <c r="B14" s="6" t="s">
        <v>14</v>
      </c>
      <c r="C14" s="75" t="s">
        <v>159</v>
      </c>
      <c r="D14" s="76"/>
      <c r="E14" s="76"/>
      <c r="F14" s="77"/>
      <c r="G14" s="1"/>
    </row>
    <row r="15" spans="1:7" x14ac:dyDescent="0.25">
      <c r="A15" s="1"/>
      <c r="B15" s="6" t="s">
        <v>29</v>
      </c>
      <c r="C15" s="75" t="s">
        <v>107</v>
      </c>
      <c r="D15" s="76"/>
      <c r="E15" s="76"/>
      <c r="F15" s="77"/>
      <c r="G15" s="1"/>
    </row>
    <row r="16" spans="1:7" x14ac:dyDescent="0.25">
      <c r="A16" s="1"/>
      <c r="B16" s="6" t="s">
        <v>30</v>
      </c>
      <c r="C16" s="75" t="s">
        <v>125</v>
      </c>
      <c r="D16" s="76"/>
      <c r="E16" s="76"/>
      <c r="F16" s="77"/>
      <c r="G16" s="1"/>
    </row>
    <row r="17" spans="1:7" x14ac:dyDescent="0.25">
      <c r="A17" s="1"/>
      <c r="B17" s="6" t="s">
        <v>57</v>
      </c>
      <c r="C17" s="75" t="s">
        <v>126</v>
      </c>
      <c r="D17" s="76"/>
      <c r="E17" s="76"/>
      <c r="F17" s="77"/>
      <c r="G17" s="1"/>
    </row>
    <row r="18" spans="1:7" x14ac:dyDescent="0.25">
      <c r="A18" s="1"/>
      <c r="B18" s="6" t="s">
        <v>49</v>
      </c>
      <c r="C18" s="84" t="s">
        <v>42</v>
      </c>
      <c r="D18" s="85"/>
      <c r="E18" s="85"/>
      <c r="F18" s="86"/>
      <c r="G18" s="1"/>
    </row>
    <row r="19" spans="1:7" x14ac:dyDescent="0.25">
      <c r="A19" s="1"/>
      <c r="B19" s="6" t="s">
        <v>50</v>
      </c>
      <c r="C19" s="84" t="s">
        <v>43</v>
      </c>
      <c r="D19" s="85"/>
      <c r="E19" s="85"/>
      <c r="F19" s="86"/>
      <c r="G19" s="1"/>
    </row>
    <row r="20" spans="1:7" x14ac:dyDescent="0.25">
      <c r="A20" s="1"/>
      <c r="B20" s="6" t="s">
        <v>7</v>
      </c>
      <c r="C20" s="84" t="s">
        <v>9</v>
      </c>
      <c r="D20" s="85"/>
      <c r="E20" s="85"/>
      <c r="F20" s="86"/>
      <c r="G20" s="1"/>
    </row>
    <row r="21" spans="1:7" x14ac:dyDescent="0.25">
      <c r="A21" s="1"/>
      <c r="B21" s="6" t="s">
        <v>51</v>
      </c>
      <c r="C21" s="90" t="s">
        <v>11</v>
      </c>
      <c r="D21" s="91"/>
      <c r="E21" s="91"/>
      <c r="F21" s="92"/>
      <c r="G21" s="1"/>
    </row>
    <row r="22" spans="1:7" x14ac:dyDescent="0.25">
      <c r="A22" s="1"/>
      <c r="B22" s="6" t="s">
        <v>37</v>
      </c>
      <c r="C22" s="79" t="s">
        <v>127</v>
      </c>
      <c r="D22" s="80"/>
      <c r="E22" s="80"/>
      <c r="F22" s="81"/>
      <c r="G22" s="1"/>
    </row>
    <row r="23" spans="1:7" x14ac:dyDescent="0.25">
      <c r="A23" s="1"/>
      <c r="B23" s="6" t="s">
        <v>8</v>
      </c>
      <c r="C23" s="79" t="s">
        <v>89</v>
      </c>
      <c r="D23" s="80"/>
      <c r="E23" s="80"/>
      <c r="F23" s="81"/>
      <c r="G23" s="1"/>
    </row>
    <row r="24" spans="1:7" x14ac:dyDescent="0.25">
      <c r="A24" s="1"/>
      <c r="B24" s="6" t="s">
        <v>85</v>
      </c>
      <c r="C24" s="79" t="s">
        <v>78</v>
      </c>
      <c r="D24" s="80"/>
      <c r="E24" s="80"/>
      <c r="F24" s="81"/>
      <c r="G24" s="1"/>
    </row>
    <row r="25" spans="1:7" x14ac:dyDescent="0.25">
      <c r="A25" s="1"/>
      <c r="B25" s="6" t="s">
        <v>86</v>
      </c>
      <c r="C25" s="79" t="s">
        <v>38</v>
      </c>
      <c r="D25" s="80"/>
      <c r="E25" s="80"/>
      <c r="F25" s="81"/>
      <c r="G25" s="1"/>
    </row>
    <row r="26" spans="1:7" x14ac:dyDescent="0.25">
      <c r="A26" s="1"/>
      <c r="B26" s="6" t="s">
        <v>87</v>
      </c>
      <c r="C26" s="79" t="s">
        <v>39</v>
      </c>
      <c r="D26" s="80"/>
      <c r="E26" s="80"/>
      <c r="F26" s="81"/>
      <c r="G26" s="1"/>
    </row>
    <row r="27" spans="1:7" x14ac:dyDescent="0.25">
      <c r="A27" s="1"/>
      <c r="B27" s="6" t="s">
        <v>52</v>
      </c>
      <c r="C27" s="79" t="s">
        <v>58</v>
      </c>
      <c r="D27" s="80"/>
      <c r="E27" s="80"/>
      <c r="F27" s="81"/>
      <c r="G27" s="1"/>
    </row>
    <row r="28" spans="1:7" x14ac:dyDescent="0.25">
      <c r="A28" s="1"/>
      <c r="B28" s="6" t="s">
        <v>46</v>
      </c>
      <c r="C28" s="79" t="s">
        <v>31</v>
      </c>
      <c r="D28" s="80"/>
      <c r="E28" s="80"/>
      <c r="F28" s="81"/>
      <c r="G28" s="1"/>
    </row>
    <row r="29" spans="1:7" x14ac:dyDescent="0.25">
      <c r="A29" s="1"/>
      <c r="B29" s="6" t="s">
        <v>88</v>
      </c>
      <c r="C29" s="87" t="s">
        <v>47</v>
      </c>
      <c r="D29" s="88"/>
      <c r="E29" s="88"/>
      <c r="F29" s="89"/>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fLJivnnx8/aBJtUsLUvWbzQt5H4rcXNG549Yaymz9Ym+BtzJRj05OaoFaRGsIJOfSkBP3QH0AUoO1GpzbQEtxw==" saltValue="spME6HMaWhCZdIjmLg6mMw=="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55</v>
      </c>
      <c r="C3" s="93"/>
      <c r="D3" s="93"/>
      <c r="E3" s="1"/>
    </row>
    <row r="4" spans="1:5" ht="15" customHeight="1" x14ac:dyDescent="0.25">
      <c r="A4" s="1"/>
      <c r="B4" s="93"/>
      <c r="C4" s="93"/>
      <c r="D4" s="9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7" t="s">
        <v>142</v>
      </c>
      <c r="C8" s="98"/>
      <c r="D8" s="99"/>
      <c r="E8" s="1"/>
    </row>
    <row r="9" spans="1:5" ht="15" customHeight="1" x14ac:dyDescent="0.25">
      <c r="A9" s="1"/>
      <c r="B9" s="51" t="s">
        <v>27</v>
      </c>
      <c r="C9" s="45" t="s">
        <v>145</v>
      </c>
      <c r="D9" s="11"/>
      <c r="E9" s="1"/>
    </row>
    <row r="10" spans="1:5" ht="15" customHeight="1" x14ac:dyDescent="0.25">
      <c r="A10" s="1"/>
      <c r="B10" s="64" t="s">
        <v>197</v>
      </c>
      <c r="C10" s="65">
        <v>21973366</v>
      </c>
      <c r="D10" s="14" t="s">
        <v>3</v>
      </c>
      <c r="E10" s="1"/>
    </row>
    <row r="11" spans="1:5" x14ac:dyDescent="0.25">
      <c r="A11" s="1"/>
      <c r="B11" s="64" t="s">
        <v>198</v>
      </c>
      <c r="C11" s="65">
        <v>116291</v>
      </c>
      <c r="D11" s="14" t="s">
        <v>3</v>
      </c>
      <c r="E11" s="1"/>
    </row>
    <row r="12" spans="1:5" ht="25.5" x14ac:dyDescent="0.25">
      <c r="A12" s="1"/>
      <c r="B12" s="64" t="s">
        <v>199</v>
      </c>
      <c r="C12" s="7">
        <v>8905686</v>
      </c>
      <c r="D12" s="14" t="s">
        <v>3</v>
      </c>
      <c r="E12" s="1"/>
    </row>
    <row r="13" spans="1:5" x14ac:dyDescent="0.25">
      <c r="A13" s="1"/>
      <c r="B13" s="64" t="s">
        <v>200</v>
      </c>
      <c r="C13" s="65">
        <v>59652</v>
      </c>
      <c r="D13" s="14" t="s">
        <v>3</v>
      </c>
      <c r="E13" s="1"/>
    </row>
    <row r="14" spans="1:5" x14ac:dyDescent="0.25">
      <c r="A14" s="1"/>
      <c r="B14" s="64" t="s">
        <v>201</v>
      </c>
      <c r="C14" s="65">
        <v>92228</v>
      </c>
      <c r="D14" s="14" t="s">
        <v>3</v>
      </c>
      <c r="E14" s="1"/>
    </row>
    <row r="15" spans="1:5" x14ac:dyDescent="0.25">
      <c r="A15" s="1"/>
      <c r="B15" s="64"/>
      <c r="C15" s="65"/>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143</v>
      </c>
      <c r="C19" s="12">
        <f>SUM(C10:C18)</f>
        <v>31147223</v>
      </c>
      <c r="D19" s="13" t="s">
        <v>3</v>
      </c>
      <c r="E19" s="1"/>
    </row>
    <row r="20" spans="1:5" x14ac:dyDescent="0.25">
      <c r="A20" s="1"/>
      <c r="B20" s="52" t="s">
        <v>144</v>
      </c>
      <c r="C20" s="12">
        <f>C19*(1+'Fane 13. Nøgletal'!C11)^2</f>
        <v>35414258.306468867</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EOo80r6L8PIF+kzwwKoj6rRRowuHMurYI6Bc/AJ9tG8ZbXgNX/tPQbGWP//pcdtcqTEqajXZ3jvO+arXdIo0lQ==" saltValue="7ipLF18hzxq2XTd90vLU/Q=="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5" t="s">
        <v>172</v>
      </c>
      <c r="C3" s="95"/>
      <c r="D3" s="95"/>
      <c r="E3" s="1"/>
    </row>
    <row r="4" spans="1:5" ht="15" customHeight="1" x14ac:dyDescent="0.25">
      <c r="A4" s="1"/>
      <c r="B4" s="95"/>
      <c r="C4" s="95"/>
      <c r="D4" s="95"/>
      <c r="E4" s="1"/>
    </row>
    <row r="5" spans="1:5" ht="15" customHeight="1" x14ac:dyDescent="0.25">
      <c r="A5" s="1"/>
      <c r="B5" s="95"/>
      <c r="C5" s="95"/>
      <c r="D5" s="95"/>
      <c r="E5" s="1"/>
    </row>
    <row r="6" spans="1:5" ht="15" customHeight="1" x14ac:dyDescent="0.25">
      <c r="A6" s="1"/>
      <c r="B6" s="67"/>
      <c r="C6" s="67"/>
      <c r="D6" s="67"/>
      <c r="E6" s="1"/>
    </row>
    <row r="7" spans="1:5" x14ac:dyDescent="0.25">
      <c r="A7" s="1"/>
      <c r="B7" s="1"/>
      <c r="C7" s="1"/>
      <c r="D7" s="1"/>
      <c r="E7" s="1"/>
    </row>
    <row r="8" spans="1:5" x14ac:dyDescent="0.25">
      <c r="A8" s="1"/>
      <c r="B8" s="97" t="s">
        <v>175</v>
      </c>
      <c r="C8" s="98"/>
      <c r="D8" s="99"/>
      <c r="E8" s="1"/>
    </row>
    <row r="9" spans="1:5" x14ac:dyDescent="0.25">
      <c r="A9" s="1"/>
      <c r="B9" s="56" t="s">
        <v>176</v>
      </c>
      <c r="C9" s="9">
        <v>-890614.39887067676</v>
      </c>
      <c r="D9" s="39" t="s">
        <v>3</v>
      </c>
      <c r="E9" s="1"/>
    </row>
    <row r="10" spans="1:5" x14ac:dyDescent="0.25">
      <c r="A10" s="1"/>
      <c r="B10" s="56" t="s">
        <v>174</v>
      </c>
      <c r="C10" s="9">
        <v>-7389736.9602498934</v>
      </c>
      <c r="D10" s="14" t="s">
        <v>3</v>
      </c>
      <c r="E10" s="1"/>
    </row>
    <row r="11" spans="1:5" x14ac:dyDescent="0.25">
      <c r="A11" s="1"/>
      <c r="B11" s="52"/>
      <c r="C11" s="53"/>
      <c r="D11" s="19"/>
      <c r="E11" s="1"/>
    </row>
    <row r="12" spans="1:5" ht="53.85" customHeight="1" x14ac:dyDescent="0.25">
      <c r="A12" s="1"/>
      <c r="B12" s="106" t="s">
        <v>173</v>
      </c>
      <c r="C12" s="107"/>
      <c r="D12" s="108"/>
      <c r="E12" s="1"/>
    </row>
    <row r="13" spans="1:5" x14ac:dyDescent="0.25">
      <c r="A13" s="1"/>
      <c r="B13" s="1"/>
      <c r="C13" s="1"/>
      <c r="D13" s="1"/>
      <c r="E13" s="1"/>
    </row>
    <row r="14" spans="1:5" x14ac:dyDescent="0.25">
      <c r="A14" s="1"/>
      <c r="B14" s="68" t="s">
        <v>177</v>
      </c>
      <c r="C14" s="69"/>
      <c r="D14" s="70"/>
      <c r="E14" s="1"/>
    </row>
    <row r="15" spans="1:5" x14ac:dyDescent="0.25">
      <c r="A15" s="1"/>
      <c r="B15" s="56" t="s">
        <v>178</v>
      </c>
      <c r="C15" s="9">
        <f>IF(C10&lt;0,C10,0)</f>
        <v>-7389736.9602498934</v>
      </c>
      <c r="D15" s="14" t="s">
        <v>3</v>
      </c>
      <c r="E15" s="1"/>
    </row>
    <row r="16" spans="1:5" x14ac:dyDescent="0.25">
      <c r="A16" s="1"/>
      <c r="B16" s="56" t="s">
        <v>185</v>
      </c>
      <c r="C16" s="9">
        <f>IF(SUM(C9)&gt;0,SUM(C9),0)</f>
        <v>0</v>
      </c>
      <c r="D16" s="14" t="s">
        <v>3</v>
      </c>
      <c r="E16" s="1"/>
    </row>
    <row r="17" spans="1:5" ht="26.25" x14ac:dyDescent="0.25">
      <c r="A17" s="1"/>
      <c r="B17" s="71" t="s">
        <v>179</v>
      </c>
      <c r="C17" s="62">
        <f>IF(SUM(C15:C16)&gt;0,0,SUM(C15:C16))</f>
        <v>-7389736.9602498934</v>
      </c>
      <c r="D17" s="17" t="s">
        <v>3</v>
      </c>
      <c r="E17" s="1"/>
    </row>
    <row r="18" spans="1:5" x14ac:dyDescent="0.25">
      <c r="A18" s="1"/>
      <c r="B18" s="52"/>
      <c r="C18" s="53"/>
      <c r="D18" s="19"/>
      <c r="E18" s="1"/>
    </row>
    <row r="19" spans="1:5" x14ac:dyDescent="0.25">
      <c r="A19" s="1"/>
      <c r="B19" s="1"/>
      <c r="C19" s="1"/>
      <c r="D19" s="1"/>
      <c r="E19" s="1"/>
    </row>
    <row r="20" spans="1:5" x14ac:dyDescent="0.25">
      <c r="A20" s="1"/>
      <c r="B20" s="68" t="s">
        <v>180</v>
      </c>
      <c r="C20" s="69"/>
      <c r="D20" s="70"/>
      <c r="E20" s="1"/>
    </row>
    <row r="21" spans="1:5" x14ac:dyDescent="0.25">
      <c r="A21" s="1"/>
      <c r="B21" s="56" t="s">
        <v>181</v>
      </c>
      <c r="C21" s="9">
        <v>62419056.917078301</v>
      </c>
      <c r="D21" s="14" t="s">
        <v>3</v>
      </c>
      <c r="E21" s="1"/>
    </row>
    <row r="22" spans="1:5" x14ac:dyDescent="0.25">
      <c r="A22" s="1"/>
      <c r="B22" s="56" t="s">
        <v>182</v>
      </c>
      <c r="C22" s="9">
        <v>62222968</v>
      </c>
      <c r="D22" s="14" t="s">
        <v>3</v>
      </c>
      <c r="E22" s="1"/>
    </row>
    <row r="23" spans="1:5" x14ac:dyDescent="0.25">
      <c r="A23" s="1"/>
      <c r="B23" s="56" t="s">
        <v>28</v>
      </c>
      <c r="C23" s="9">
        <v>0</v>
      </c>
      <c r="D23" s="14" t="s">
        <v>3</v>
      </c>
      <c r="E23" s="1"/>
    </row>
    <row r="24" spans="1:5" x14ac:dyDescent="0.25">
      <c r="A24" s="1"/>
      <c r="B24" s="73" t="s">
        <v>183</v>
      </c>
      <c r="C24" s="46">
        <f>C21-C22-C23</f>
        <v>196088.91707830131</v>
      </c>
      <c r="D24" s="17" t="s">
        <v>3</v>
      </c>
      <c r="E24" s="1"/>
    </row>
    <row r="25" spans="1:5" x14ac:dyDescent="0.25">
      <c r="A25" s="1"/>
      <c r="B25" s="52"/>
      <c r="C25" s="53"/>
      <c r="D25" s="19"/>
      <c r="E25" s="1"/>
    </row>
    <row r="26" spans="1:5" x14ac:dyDescent="0.25">
      <c r="A26" s="1"/>
      <c r="B26" s="1"/>
      <c r="C26" s="1"/>
      <c r="D26" s="1"/>
      <c r="E26" s="1"/>
    </row>
    <row r="27" spans="1:5" x14ac:dyDescent="0.25">
      <c r="A27" s="1"/>
      <c r="B27" s="97" t="s">
        <v>184</v>
      </c>
      <c r="C27" s="98"/>
      <c r="D27" s="99"/>
      <c r="E27" s="1"/>
    </row>
    <row r="28" spans="1:5" x14ac:dyDescent="0.25">
      <c r="A28" s="1"/>
      <c r="B28" s="57" t="s">
        <v>65</v>
      </c>
      <c r="C28" s="9">
        <f>IF(C17&lt;0,IF(C24&lt;0,SUM(C17,C24),IF(C9&gt;0,SUM(C9:C10),C17)),IF(AND(C24&lt;0,SUM(C24,C10)&lt;0),IF(C10&lt;0,C24,IF(SUM(C9:C10)&gt;0,SUM(C24,C10),IF(AND(C24&lt;0,C17=0,C10&gt;0),IF(SUM(C9:C10)&gt;0,C24+C10,C24)))),IF(AND(SUM(C9:C10)&lt;0,C17=0,C24&lt;0),C24,0)))</f>
        <v>-7389736.9602498934</v>
      </c>
      <c r="D28" s="14" t="s">
        <v>3</v>
      </c>
      <c r="E28" s="1"/>
    </row>
    <row r="29" spans="1:5" x14ac:dyDescent="0.25">
      <c r="A29" s="1"/>
      <c r="B29" s="57" t="s">
        <v>48</v>
      </c>
      <c r="C29" s="9">
        <v>2</v>
      </c>
      <c r="D29" s="14" t="s">
        <v>18</v>
      </c>
      <c r="E29" s="1"/>
    </row>
    <row r="30" spans="1:5" x14ac:dyDescent="0.25">
      <c r="A30" s="1"/>
      <c r="B30" s="58" t="s">
        <v>64</v>
      </c>
      <c r="C30" s="10">
        <f>C28/C29</f>
        <v>-3694868.4801249467</v>
      </c>
      <c r="D30" s="17" t="s">
        <v>3</v>
      </c>
      <c r="E30" s="1"/>
    </row>
    <row r="31" spans="1:5" x14ac:dyDescent="0.25">
      <c r="A31" s="1"/>
      <c r="B31" s="109"/>
      <c r="C31" s="110"/>
      <c r="D31" s="11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O2NiE9R+k5prMsJZiEioxtdp9FYGN5IVkc65OYJMhcL+wHSWkedJTssqk5XzRurPSB1Ih+mRadgQaOeIz2bW3w==" saltValue="E3xjiILDgUoeF7KFWoSkvQ=="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5" t="s">
        <v>96</v>
      </c>
      <c r="C3" s="95"/>
      <c r="D3" s="95"/>
      <c r="E3" s="1"/>
    </row>
    <row r="4" spans="1:5" ht="15" customHeight="1" x14ac:dyDescent="0.25">
      <c r="A4" s="1"/>
      <c r="B4" s="95"/>
      <c r="C4" s="95"/>
      <c r="D4" s="95"/>
      <c r="E4" s="1"/>
    </row>
    <row r="5" spans="1:5" x14ac:dyDescent="0.25">
      <c r="A5" s="1"/>
      <c r="B5" s="95"/>
      <c r="C5" s="95"/>
      <c r="D5" s="95"/>
      <c r="E5" s="1"/>
    </row>
    <row r="6" spans="1:5" x14ac:dyDescent="0.25">
      <c r="A6" s="1"/>
      <c r="B6" s="1"/>
      <c r="C6" s="1"/>
      <c r="D6" s="1"/>
      <c r="E6" s="1"/>
    </row>
    <row r="7" spans="1:5" x14ac:dyDescent="0.25">
      <c r="A7" s="1"/>
      <c r="B7" s="1"/>
      <c r="C7" s="1"/>
      <c r="D7" s="1"/>
      <c r="E7" s="1"/>
    </row>
    <row r="8" spans="1:5" x14ac:dyDescent="0.25">
      <c r="A8" s="1"/>
      <c r="B8" s="97" t="s">
        <v>97</v>
      </c>
      <c r="C8" s="98"/>
      <c r="D8" s="99"/>
      <c r="E8" s="1"/>
    </row>
    <row r="9" spans="1:5" ht="15" customHeight="1" x14ac:dyDescent="0.25">
      <c r="A9" s="1"/>
      <c r="B9" s="112" t="s">
        <v>123</v>
      </c>
      <c r="C9" s="113"/>
      <c r="D9" s="114"/>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8"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6NZCSpNM9ffn6wQC5SFd+uFsKxqlPG5B+C/FkE4dublqZEvZrOoR3C/fI8icJt07nUJHLddorn+aC58Ih0p7Og==" saltValue="/JSd2j4iv34SX2jmL9TYmA=="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3" t="s">
        <v>90</v>
      </c>
      <c r="C3" s="93"/>
      <c r="D3" s="93"/>
      <c r="E3" s="93"/>
      <c r="F3" s="93"/>
      <c r="G3" s="93"/>
      <c r="H3" s="93"/>
      <c r="I3" s="93"/>
      <c r="J3" s="93"/>
      <c r="K3" s="93"/>
      <c r="L3" s="1"/>
    </row>
    <row r="4" spans="1:12" ht="15" customHeight="1" x14ac:dyDescent="0.25">
      <c r="A4" s="1"/>
      <c r="B4" s="93"/>
      <c r="C4" s="93"/>
      <c r="D4" s="93"/>
      <c r="E4" s="93"/>
      <c r="F4" s="93"/>
      <c r="G4" s="93"/>
      <c r="H4" s="93"/>
      <c r="I4" s="93"/>
      <c r="J4" s="93"/>
      <c r="K4" s="93"/>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7" t="s">
        <v>74</v>
      </c>
      <c r="C8" s="98"/>
      <c r="D8" s="98"/>
      <c r="E8" s="98"/>
      <c r="F8" s="98"/>
      <c r="G8" s="98"/>
      <c r="H8" s="98"/>
      <c r="I8" s="98"/>
      <c r="J8" s="98"/>
      <c r="K8" s="99"/>
      <c r="L8" s="1"/>
    </row>
    <row r="9" spans="1:12" ht="39.75" customHeight="1" x14ac:dyDescent="0.25">
      <c r="A9" s="1"/>
      <c r="B9" s="18" t="s">
        <v>0</v>
      </c>
      <c r="C9" s="18" t="s">
        <v>1</v>
      </c>
      <c r="D9" s="115" t="s">
        <v>83</v>
      </c>
      <c r="E9" s="116"/>
      <c r="F9" s="115" t="s">
        <v>2</v>
      </c>
      <c r="G9" s="116"/>
      <c r="H9" s="115" t="s">
        <v>84</v>
      </c>
      <c r="I9" s="116"/>
      <c r="J9" s="115" t="s">
        <v>25</v>
      </c>
      <c r="K9" s="116"/>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0"/>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hMHnLMRJoD9Hm54zMBGArsCaXTydLpa4929yk/FihM2e2OPt2kyi9A7S56OYeA1QOQWPSg8rUSa0W/P42pIr1A==" saltValue="IJuAjLrfIGd3Wuep7eJBCQ=="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6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91</v>
      </c>
      <c r="C3" s="93"/>
      <c r="D3" s="93"/>
      <c r="E3" s="93"/>
      <c r="F3" s="93"/>
      <c r="G3" s="1"/>
    </row>
    <row r="4" spans="1:7" ht="1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1" t="s">
        <v>15</v>
      </c>
      <c r="C9" s="73" t="s">
        <v>10</v>
      </c>
      <c r="D9" s="72"/>
      <c r="E9" s="73"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202</v>
      </c>
      <c r="C11" s="21">
        <v>810000</v>
      </c>
      <c r="D11" s="14" t="s">
        <v>3</v>
      </c>
      <c r="E11" s="9">
        <v>100329.41</v>
      </c>
      <c r="F11" s="14" t="s">
        <v>3</v>
      </c>
      <c r="G11" s="1"/>
    </row>
    <row r="12" spans="1:7" x14ac:dyDescent="0.25">
      <c r="A12" s="1"/>
      <c r="B12" s="26" t="s">
        <v>203</v>
      </c>
      <c r="C12" s="21">
        <v>0</v>
      </c>
      <c r="D12" s="14" t="s">
        <v>3</v>
      </c>
      <c r="E12" s="9">
        <v>173724</v>
      </c>
      <c r="F12" s="14" t="s">
        <v>3</v>
      </c>
      <c r="G12" s="1"/>
    </row>
    <row r="13" spans="1:7" x14ac:dyDescent="0.25">
      <c r="A13" s="1"/>
      <c r="B13" s="26" t="s">
        <v>205</v>
      </c>
      <c r="C13" s="21">
        <v>39562</v>
      </c>
      <c r="D13" s="14" t="s">
        <v>3</v>
      </c>
      <c r="E13" s="9">
        <v>128198</v>
      </c>
      <c r="F13" s="14" t="s">
        <v>3</v>
      </c>
      <c r="G13" s="1"/>
    </row>
    <row r="14" spans="1:7" x14ac:dyDescent="0.25">
      <c r="A14" s="1"/>
      <c r="B14" s="26" t="s">
        <v>206</v>
      </c>
      <c r="C14" s="21">
        <v>56973</v>
      </c>
      <c r="D14" s="14" t="s">
        <v>3</v>
      </c>
      <c r="E14" s="9">
        <v>0</v>
      </c>
      <c r="F14" s="14" t="s">
        <v>3</v>
      </c>
      <c r="G14" s="1"/>
    </row>
    <row r="15" spans="1:7" x14ac:dyDescent="0.25">
      <c r="A15" s="1"/>
      <c r="B15" s="26" t="s">
        <v>207</v>
      </c>
      <c r="C15" s="21">
        <v>358458</v>
      </c>
      <c r="D15" s="14" t="s">
        <v>3</v>
      </c>
      <c r="E15" s="9">
        <v>0</v>
      </c>
      <c r="F15" s="14" t="s">
        <v>3</v>
      </c>
      <c r="G15" s="1"/>
    </row>
    <row r="16" spans="1:7" x14ac:dyDescent="0.25">
      <c r="A16" s="1"/>
      <c r="B16" s="26" t="s">
        <v>208</v>
      </c>
      <c r="C16" s="21">
        <v>109251</v>
      </c>
      <c r="D16" s="14" t="s">
        <v>3</v>
      </c>
      <c r="E16" s="9">
        <v>0</v>
      </c>
      <c r="F16" s="14" t="s">
        <v>3</v>
      </c>
      <c r="G16" s="1"/>
    </row>
    <row r="17" spans="1:7" x14ac:dyDescent="0.25">
      <c r="A17" s="1"/>
      <c r="B17" s="26" t="s">
        <v>210</v>
      </c>
      <c r="C17" s="21">
        <v>848799</v>
      </c>
      <c r="D17" s="14" t="s">
        <v>3</v>
      </c>
      <c r="E17" s="9">
        <v>210543</v>
      </c>
      <c r="F17" s="14" t="s">
        <v>3</v>
      </c>
      <c r="G17" s="1"/>
    </row>
    <row r="18" spans="1:7" x14ac:dyDescent="0.25">
      <c r="A18" s="1"/>
      <c r="B18" s="26" t="s">
        <v>209</v>
      </c>
      <c r="C18" s="21">
        <v>10476</v>
      </c>
      <c r="D18" s="14" t="s">
        <v>3</v>
      </c>
      <c r="E18" s="9">
        <v>0</v>
      </c>
      <c r="F18" s="14" t="s">
        <v>3</v>
      </c>
      <c r="G18" s="1"/>
    </row>
    <row r="19" spans="1:7" x14ac:dyDescent="0.25">
      <c r="A19" s="1"/>
      <c r="B19" s="52" t="s">
        <v>112</v>
      </c>
      <c r="C19" s="12">
        <f>SUM(C10:C18)</f>
        <v>2233519</v>
      </c>
      <c r="D19" s="13" t="s">
        <v>3</v>
      </c>
      <c r="E19" s="12">
        <f>SUM(E10:E18)</f>
        <v>612794.41</v>
      </c>
      <c r="F19" s="13" t="s">
        <v>3</v>
      </c>
      <c r="G19" s="1"/>
    </row>
    <row r="20" spans="1:7" x14ac:dyDescent="0.25">
      <c r="A20" s="1"/>
      <c r="B20" s="52" t="s">
        <v>147</v>
      </c>
      <c r="C20" s="12">
        <f>C19*(1+'Fane 13. Nøgletal'!C11)</f>
        <v>2381601.3097000001</v>
      </c>
      <c r="D20" s="13" t="s">
        <v>3</v>
      </c>
      <c r="E20" s="12">
        <f>E19*(1+'Fane 13. Nøgletal'!C11)</f>
        <v>653422.67938300001</v>
      </c>
      <c r="F20" s="13" t="s">
        <v>3</v>
      </c>
      <c r="G20" s="1"/>
    </row>
    <row r="21" spans="1:7" x14ac:dyDescent="0.25">
      <c r="A21" s="1"/>
      <c r="B21" s="1"/>
      <c r="C21" s="1" t="s">
        <v>82</v>
      </c>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row r="58" spans="1:7" hidden="1" x14ac:dyDescent="0.25">
      <c r="A58" s="40"/>
      <c r="B58" s="40"/>
      <c r="C58" s="40"/>
      <c r="D58" s="40"/>
      <c r="E58" s="40"/>
      <c r="F58" s="40"/>
      <c r="G58" s="40"/>
    </row>
    <row r="59" spans="1:7" hidden="1" x14ac:dyDescent="0.25">
      <c r="A59" s="40"/>
      <c r="B59" s="40"/>
      <c r="C59" s="40"/>
      <c r="D59" s="40"/>
      <c r="E59" s="40"/>
      <c r="F59" s="40"/>
      <c r="G59" s="40"/>
    </row>
    <row r="60" spans="1:7" x14ac:dyDescent="0.25"/>
  </sheetData>
  <sheetProtection algorithmName="SHA-512" hashValue="sQUpoXdVXZAgsZq2z+zKZoYiJ3smu2jn4kyVCUbbWNwEvClJKLLWI54UqZ20Rfl40bMO4iKB+jTkxv9vsE+4KQ==" saltValue="t4KrV/YTax0b2wtIQPS7t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92</v>
      </c>
      <c r="C3" s="93"/>
      <c r="D3" s="93"/>
      <c r="E3" s="93"/>
      <c r="F3" s="93"/>
      <c r="G3" s="1"/>
    </row>
    <row r="4" spans="1:7" ht="1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7" t="s">
        <v>150</v>
      </c>
      <c r="C8" s="98"/>
      <c r="D8" s="98"/>
      <c r="E8" s="98"/>
      <c r="F8" s="99"/>
      <c r="G8" s="1"/>
    </row>
    <row r="9" spans="1:7" x14ac:dyDescent="0.25">
      <c r="A9" s="1"/>
      <c r="B9" s="71" t="s">
        <v>15</v>
      </c>
      <c r="C9" s="73" t="s">
        <v>10</v>
      </c>
      <c r="D9" s="74"/>
      <c r="E9" s="73" t="s">
        <v>26</v>
      </c>
      <c r="F9" s="27"/>
      <c r="G9" s="1"/>
    </row>
    <row r="10" spans="1:7" x14ac:dyDescent="0.25">
      <c r="A10" s="1"/>
      <c r="B10" s="23" t="s">
        <v>204</v>
      </c>
      <c r="C10" s="21"/>
      <c r="D10" s="14" t="s">
        <v>3</v>
      </c>
      <c r="E10" s="9"/>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2" t="s">
        <v>148</v>
      </c>
      <c r="C13" s="12">
        <f>SUM(C10:C12)</f>
        <v>0</v>
      </c>
      <c r="D13" s="13" t="s">
        <v>3</v>
      </c>
      <c r="E13" s="12">
        <f>SUM(E10:E12)</f>
        <v>0</v>
      </c>
      <c r="F13" s="13" t="s">
        <v>3</v>
      </c>
      <c r="G13" s="1"/>
    </row>
    <row r="14" spans="1:7" x14ac:dyDescent="0.25">
      <c r="A14" s="1"/>
      <c r="B14" s="52" t="s">
        <v>149</v>
      </c>
      <c r="C14" s="12">
        <f>C13*(1+'Fane 13. Nøgletal'!$C$11)^2</f>
        <v>0</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Eq5EE8JGIZlhYNged5k1M0ldjnWD7Jr00YdKlsTK3j0y3YmDkeipd5IarxbdXm4FWP8DzNX8yB9uQzES7lzfSA==" saltValue="EBmQ8TK7/42VXd+AvGLKL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93</v>
      </c>
      <c r="C3" s="95"/>
      <c r="D3" s="95"/>
      <c r="E3" s="95"/>
      <c r="F3" s="95"/>
      <c r="G3" s="1"/>
    </row>
    <row r="4" spans="1:7" ht="15" customHeight="1" x14ac:dyDescent="0.25">
      <c r="A4" s="1"/>
      <c r="B4" s="95"/>
      <c r="C4" s="95"/>
      <c r="D4" s="95"/>
      <c r="E4" s="95"/>
      <c r="F4" s="95"/>
      <c r="G4" s="1"/>
    </row>
    <row r="5" spans="1:7" x14ac:dyDescent="0.25">
      <c r="A5" s="1"/>
      <c r="B5" s="95"/>
      <c r="C5" s="95"/>
      <c r="D5" s="95"/>
      <c r="E5" s="95"/>
      <c r="F5" s="95"/>
      <c r="G5" s="1"/>
    </row>
    <row r="6" spans="1:7" x14ac:dyDescent="0.25">
      <c r="A6" s="1"/>
      <c r="B6" s="1"/>
      <c r="C6" s="1"/>
      <c r="D6" s="1"/>
      <c r="E6" s="1"/>
      <c r="F6" s="1"/>
      <c r="G6" s="1"/>
    </row>
    <row r="7" spans="1:7" x14ac:dyDescent="0.25">
      <c r="A7" s="1"/>
      <c r="B7" s="1"/>
      <c r="C7" s="1"/>
      <c r="D7" s="1"/>
      <c r="E7" s="1"/>
      <c r="F7" s="1"/>
      <c r="G7" s="1"/>
    </row>
    <row r="8" spans="1:7" x14ac:dyDescent="0.25">
      <c r="A8" s="1"/>
      <c r="B8" s="97" t="s">
        <v>59</v>
      </c>
      <c r="C8" s="98"/>
      <c r="D8" s="98"/>
      <c r="E8" s="98"/>
      <c r="F8" s="99"/>
      <c r="G8" s="1"/>
    </row>
    <row r="9" spans="1:7" ht="15" customHeight="1" x14ac:dyDescent="0.25">
      <c r="A9" s="1"/>
      <c r="B9" s="54" t="s">
        <v>60</v>
      </c>
      <c r="C9" s="117" t="s">
        <v>10</v>
      </c>
      <c r="D9" s="118"/>
      <c r="E9" s="117" t="s">
        <v>26</v>
      </c>
      <c r="F9" s="118"/>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7k3C5dDquaAZEqB/on9M1+XOVDy+iyhoqxKizvJ7wzcf/INPzFp/uCrVNLemn/eNGh19MiyNEtHibA/EjVUFfQ==" saltValue="NMeQeGNqTq/BzW6X66UWcA=="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94</v>
      </c>
      <c r="C3" s="95"/>
      <c r="D3" s="95"/>
      <c r="E3" s="95"/>
      <c r="F3" s="95"/>
      <c r="G3" s="1"/>
    </row>
    <row r="4" spans="1:7" ht="15" customHeight="1" x14ac:dyDescent="0.25">
      <c r="A4" s="1"/>
      <c r="B4" s="95"/>
      <c r="C4" s="95"/>
      <c r="D4" s="95"/>
      <c r="E4" s="95"/>
      <c r="F4" s="95"/>
      <c r="G4" s="1"/>
    </row>
    <row r="5" spans="1:7" x14ac:dyDescent="0.25">
      <c r="A5" s="1"/>
      <c r="B5" s="95"/>
      <c r="C5" s="95"/>
      <c r="D5" s="95"/>
      <c r="E5" s="95"/>
      <c r="F5" s="95"/>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7" t="s">
        <v>152</v>
      </c>
      <c r="C8" s="98"/>
      <c r="D8" s="98"/>
      <c r="E8" s="98"/>
      <c r="F8" s="99"/>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uvp5UYbkhmK3ySeHhQhMdWHFlRH1waoCsCkdImpGb9dAmkouAbF0ZncK3PVbGQEEYmg9aRlJqj9qJ+gG0mTKDA==" saltValue="gVYQaEHGbquKLkCw6Jz5aA=="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5" t="s">
        <v>95</v>
      </c>
      <c r="C3" s="95"/>
      <c r="D3" s="1"/>
    </row>
    <row r="4" spans="1:4" ht="15" customHeight="1" x14ac:dyDescent="0.25">
      <c r="A4" s="1"/>
      <c r="B4" s="95"/>
      <c r="C4" s="95"/>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194</v>
      </c>
      <c r="C11" s="49">
        <v>6.6299999999999998E-2</v>
      </c>
      <c r="D11" s="1"/>
    </row>
    <row r="12" spans="1:4" x14ac:dyDescent="0.25">
      <c r="A12" s="1"/>
      <c r="B12" s="97"/>
      <c r="C12" s="99"/>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195</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7COW5MsYOyVCPkzivejQJ3dyz5GgF4S9jC3hWC30bsKtbNW54sXYYmQPIz5QAgQDtr/K24DDj8eWO2Gd8E8XQ==" saltValue="uodM39EtV9JnsoRC0vpWIA=="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128</v>
      </c>
      <c r="C3" s="93"/>
      <c r="D3" s="93"/>
      <c r="E3" s="1"/>
    </row>
    <row r="4" spans="1:5" ht="15" customHeight="1" x14ac:dyDescent="0.25">
      <c r="A4" s="1"/>
      <c r="B4" s="93"/>
      <c r="C4" s="93"/>
      <c r="D4" s="9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31072174.062495012</v>
      </c>
      <c r="D9" s="8" t="s">
        <v>3</v>
      </c>
      <c r="E9" s="1"/>
    </row>
    <row r="10" spans="1:5" ht="17.100000000000001" customHeight="1" x14ac:dyDescent="0.25">
      <c r="A10" s="1"/>
      <c r="B10" s="24" t="s">
        <v>32</v>
      </c>
      <c r="C10" s="7">
        <f>'Fane 10.1. Varige tillæg'!C20</f>
        <v>2381601.3097000001</v>
      </c>
      <c r="D10" s="8" t="s">
        <v>3</v>
      </c>
      <c r="E10" s="1"/>
    </row>
    <row r="11" spans="1:5" ht="17.100000000000001" customHeight="1" x14ac:dyDescent="0.25">
      <c r="A11" s="1"/>
      <c r="B11" s="24" t="s">
        <v>33</v>
      </c>
      <c r="C11" s="9">
        <f>'Fane 10.1. Varige tillæg'!E20</f>
        <v>653422.67938300001</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2261307.2308196225</v>
      </c>
      <c r="D16" s="8" t="s">
        <v>3</v>
      </c>
      <c r="E16" s="1"/>
    </row>
    <row r="17" spans="1:5" ht="17.100000000000001" customHeight="1" x14ac:dyDescent="0.25">
      <c r="A17" s="1"/>
      <c r="B17" s="24" t="s">
        <v>9</v>
      </c>
      <c r="C17" s="9">
        <f>-SUM(C9:C16)*'Fane 5. Individuelt eff. krav'!C9</f>
        <v>-727370.10564795276</v>
      </c>
      <c r="D17" s="8" t="s">
        <v>3</v>
      </c>
      <c r="E17" s="1"/>
    </row>
    <row r="18" spans="1:5" ht="17.100000000000001" customHeight="1" x14ac:dyDescent="0.25">
      <c r="A18" s="1"/>
      <c r="B18" s="24" t="s">
        <v>21</v>
      </c>
      <c r="C18" s="9">
        <f>-'Fane 4.1. Gen. krav - drift'!C17</f>
        <v>-342858.59987504041</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3" t="s">
        <v>19</v>
      </c>
      <c r="C20" s="10">
        <f>SUM(C9:C19)</f>
        <v>35298276.576874644</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35414258.306468867</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0</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0</v>
      </c>
      <c r="D26" s="8" t="s">
        <v>3</v>
      </c>
      <c r="E26" s="1"/>
    </row>
    <row r="27" spans="1:5" ht="15" customHeight="1" x14ac:dyDescent="0.25">
      <c r="A27" s="1"/>
      <c r="B27" s="24" t="s">
        <v>80</v>
      </c>
      <c r="C27" s="9">
        <f>-C25*('Fane 13. Nøgletal'!C18+'Fane 5. Individuelt eff. krav'!C9)</f>
        <v>0</v>
      </c>
      <c r="D27" s="8" t="s">
        <v>3</v>
      </c>
      <c r="E27" s="1"/>
    </row>
    <row r="28" spans="1:5" x14ac:dyDescent="0.25">
      <c r="A28" s="1"/>
      <c r="B28" s="73" t="s">
        <v>40</v>
      </c>
      <c r="C28" s="50">
        <f>SUM(C24:C27)</f>
        <v>0</v>
      </c>
      <c r="D28" s="11" t="s">
        <v>3</v>
      </c>
      <c r="E28" s="1"/>
    </row>
    <row r="29" spans="1:5" ht="15" customHeight="1" x14ac:dyDescent="0.25">
      <c r="A29" s="1"/>
      <c r="B29" s="25" t="s">
        <v>65</v>
      </c>
      <c r="C29" s="53"/>
      <c r="D29" s="19"/>
      <c r="E29" s="1"/>
    </row>
    <row r="30" spans="1:5" x14ac:dyDescent="0.25">
      <c r="A30" s="1"/>
      <c r="B30" s="58" t="s">
        <v>66</v>
      </c>
      <c r="C30" s="10">
        <f>'Fane 7. Kontrol af ØR2023'!C30</f>
        <v>-3694868.4801249467</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67017666.403218567</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IoEq9acZd7sFOZBA8dx3tnvIYqyR9GnUg1DsmH0oK5l83Ktg4m/jXqv7M2E45mMGS8ulzR1PxuO3XyKO67dRIA==" saltValue="GzT2YVimjQi5i11tItG5IA=="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129</v>
      </c>
      <c r="C3" s="93"/>
      <c r="D3" s="93"/>
      <c r="E3" s="1"/>
    </row>
    <row r="4" spans="1:5" ht="15" customHeight="1" x14ac:dyDescent="0.25">
      <c r="A4" s="1"/>
      <c r="B4" s="93"/>
      <c r="C4" s="93"/>
      <c r="D4" s="93"/>
      <c r="E4" s="1"/>
    </row>
    <row r="5" spans="1:5" x14ac:dyDescent="0.25">
      <c r="A5" s="1"/>
      <c r="B5" s="94"/>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35298276.576874644</v>
      </c>
      <c r="D9" s="8" t="s">
        <v>3</v>
      </c>
      <c r="E9" s="1"/>
    </row>
    <row r="10" spans="1:5" ht="15" customHeight="1" x14ac:dyDescent="0.25">
      <c r="A10" s="1"/>
      <c r="B10" s="47" t="s">
        <v>17</v>
      </c>
      <c r="C10" s="41">
        <f>C9*'Fane 13. Nøgletal'!C11</f>
        <v>2340275.7370467889</v>
      </c>
      <c r="D10" s="8" t="s">
        <v>3</v>
      </c>
      <c r="E10" s="1"/>
    </row>
    <row r="11" spans="1:5" ht="15" customHeight="1" x14ac:dyDescent="0.25">
      <c r="A11" s="1"/>
      <c r="B11" s="47" t="s">
        <v>9</v>
      </c>
      <c r="C11" s="9">
        <f>-SUM(C9:C10)*'Fane 5. Individuelt eff. krav'!C9</f>
        <v>-752771.04627842864</v>
      </c>
      <c r="D11" s="8" t="s">
        <v>3</v>
      </c>
      <c r="E11" s="1"/>
    </row>
    <row r="12" spans="1:5" ht="15" customHeight="1" x14ac:dyDescent="0.25">
      <c r="A12" s="1"/>
      <c r="B12" s="47" t="s">
        <v>21</v>
      </c>
      <c r="C12" s="9">
        <f>-'Fane 4.1. Gen. krav - drift'!C22</f>
        <v>-358278.3225458205</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36527502.945097178</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37762223.632187754</v>
      </c>
      <c r="D16" s="11" t="s">
        <v>3</v>
      </c>
      <c r="E16" s="1"/>
    </row>
    <row r="17" spans="1:5" x14ac:dyDescent="0.25">
      <c r="A17" s="1"/>
      <c r="B17" s="25" t="s">
        <v>65</v>
      </c>
      <c r="C17" s="53"/>
      <c r="D17" s="19"/>
      <c r="E17" s="1"/>
    </row>
    <row r="18" spans="1:5" ht="15" customHeight="1" x14ac:dyDescent="0.25">
      <c r="A18" s="1"/>
      <c r="B18" s="45" t="s">
        <v>66</v>
      </c>
      <c r="C18" s="10">
        <f>'Fane 7. Kontrol af ØR2023'!C30</f>
        <v>-3694868.4801249467</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70594858.097159982</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zmX+RqEAWU+XFrrg44gBh4lnY4zroMHRNVPkSt/utYA5nFTFTsN1Scbuot61JlUAb1V/Zt1FwkYw6Y75lW8Cg==" saltValue="9+QIUkRW8cIG9W+JhUuUY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130</v>
      </c>
      <c r="C3" s="93"/>
      <c r="D3" s="93"/>
      <c r="E3" s="1"/>
    </row>
    <row r="4" spans="1:5" ht="15" customHeight="1" x14ac:dyDescent="0.25">
      <c r="A4" s="1"/>
      <c r="B4" s="93"/>
      <c r="C4" s="93"/>
      <c r="D4" s="93"/>
      <c r="E4" s="1"/>
    </row>
    <row r="5" spans="1:5" x14ac:dyDescent="0.25">
      <c r="A5" s="1"/>
      <c r="B5" s="94" t="s">
        <v>20</v>
      </c>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36527502.945097178</v>
      </c>
      <c r="D9" s="8" t="s">
        <v>3</v>
      </c>
      <c r="E9" s="1"/>
    </row>
    <row r="10" spans="1:5" ht="15" customHeight="1" x14ac:dyDescent="0.25">
      <c r="A10" s="1"/>
      <c r="B10" s="47" t="s">
        <v>17</v>
      </c>
      <c r="C10" s="41">
        <f>C9*'Fane 13. Nøgletal'!C11</f>
        <v>2421773.4452599427</v>
      </c>
      <c r="D10" s="8" t="s">
        <v>3</v>
      </c>
      <c r="E10" s="1"/>
    </row>
    <row r="11" spans="1:5" ht="15" customHeight="1" x14ac:dyDescent="0.25">
      <c r="A11" s="1"/>
      <c r="B11" s="47" t="s">
        <v>9</v>
      </c>
      <c r="C11" s="9">
        <f>-SUM(C9:C10)*'Fane 5. Individuelt eff. krav'!C9</f>
        <v>-778985.52780714247</v>
      </c>
      <c r="D11" s="8" t="s">
        <v>3</v>
      </c>
      <c r="E11" s="1"/>
    </row>
    <row r="12" spans="1:5" ht="15" customHeight="1" x14ac:dyDescent="0.25">
      <c r="A12" s="1"/>
      <c r="B12" s="47" t="s">
        <v>21</v>
      </c>
      <c r="C12" s="9">
        <f>-'Fane 4.1. Gen. krav - drift'!C27</f>
        <v>-374391.53182399622</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37795899.33072599</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40265859.059001803</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78061758.389727801</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s8qkianxzMJhF5K2vsxsK5NOPUrhbq8zcN3bJMPhu/1Yy+Xf6oHC5LgHsJXrM3hAoFOdkXDqcKjzFYALFZNgNQ==" saltValue="FwLEMaaavm5BHgHCBrOJo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131</v>
      </c>
      <c r="C3" s="93"/>
      <c r="D3" s="93"/>
      <c r="E3" s="1"/>
    </row>
    <row r="4" spans="1:5" ht="15" customHeight="1" x14ac:dyDescent="0.25">
      <c r="A4" s="1"/>
      <c r="B4" s="93"/>
      <c r="C4" s="93"/>
      <c r="D4" s="93"/>
      <c r="E4" s="1"/>
    </row>
    <row r="5" spans="1:5" x14ac:dyDescent="0.25">
      <c r="A5" s="1"/>
      <c r="B5" s="94" t="s">
        <v>20</v>
      </c>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37795899.33072599</v>
      </c>
      <c r="D9" s="8" t="s">
        <v>3</v>
      </c>
      <c r="E9" s="1"/>
    </row>
    <row r="10" spans="1:5" ht="15" customHeight="1" x14ac:dyDescent="0.25">
      <c r="A10" s="1"/>
      <c r="B10" s="47" t="s">
        <v>17</v>
      </c>
      <c r="C10" s="9">
        <f>C9*'Fane 13. Nøgletal'!C11</f>
        <v>2505868.1256271331</v>
      </c>
      <c r="D10" s="8" t="s">
        <v>3</v>
      </c>
      <c r="E10" s="1"/>
    </row>
    <row r="11" spans="1:5" ht="15" customHeight="1" x14ac:dyDescent="0.25">
      <c r="A11" s="1"/>
      <c r="B11" s="47" t="s">
        <v>9</v>
      </c>
      <c r="C11" s="9">
        <f>-SUM(C9:C10)*'Fane 5. Individuelt eff. krav'!C9</f>
        <v>-806035.34912706248</v>
      </c>
      <c r="D11" s="8" t="s">
        <v>3</v>
      </c>
      <c r="E11" s="1"/>
    </row>
    <row r="12" spans="1:5" ht="15" customHeight="1" x14ac:dyDescent="0.25">
      <c r="A12" s="1"/>
      <c r="B12" s="47" t="s">
        <v>21</v>
      </c>
      <c r="C12" s="9">
        <f>-'Fane 4.1. Gen. krav - drift'!C32</f>
        <v>-391229.41657624865</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39104502.690649807</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42935485.514613621</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82039988.205263436</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B/RP2cmuQTNyhk+zEDBXaDCjrSaAfGDEe012z2kWktaiJOsRW9+cNm+INp9AsgIUhF8llccaH2v1gmvNzAbgfA==" saltValue="ra9Pe/7ZMb8vvvAZNUWPU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5" t="s">
        <v>134</v>
      </c>
      <c r="C3" s="95"/>
      <c r="D3" s="95"/>
      <c r="E3" s="1"/>
    </row>
    <row r="4" spans="1:5" ht="15" customHeight="1" x14ac:dyDescent="0.25">
      <c r="A4" s="1"/>
      <c r="B4" s="95"/>
      <c r="C4" s="95"/>
      <c r="D4" s="95"/>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29461242.845237404</v>
      </c>
      <c r="D9" s="8" t="s">
        <v>3</v>
      </c>
      <c r="E9" s="1"/>
    </row>
    <row r="10" spans="1:5" x14ac:dyDescent="0.25">
      <c r="A10" s="1"/>
      <c r="B10" s="24" t="s">
        <v>32</v>
      </c>
      <c r="C10" s="7">
        <v>1363170.8888000001</v>
      </c>
      <c r="D10" s="8" t="s">
        <v>3</v>
      </c>
      <c r="E10" s="1"/>
    </row>
    <row r="11" spans="1:5" ht="15" customHeight="1" x14ac:dyDescent="0.25">
      <c r="A11" s="1"/>
      <c r="B11" s="24" t="s">
        <v>33</v>
      </c>
      <c r="C11" s="9">
        <v>7516.9639999999999</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1159571.8237966916</v>
      </c>
      <c r="D16" s="8" t="s">
        <v>3</v>
      </c>
      <c r="E16" s="1"/>
    </row>
    <row r="17" spans="1:5" x14ac:dyDescent="0.25">
      <c r="A17" s="1"/>
      <c r="B17" s="24" t="s">
        <v>9</v>
      </c>
      <c r="C17" s="9">
        <v>-639830.05043668195</v>
      </c>
      <c r="D17" s="8" t="s">
        <v>3</v>
      </c>
      <c r="E17" s="1"/>
    </row>
    <row r="18" spans="1:5" x14ac:dyDescent="0.25">
      <c r="A18" s="1"/>
      <c r="B18" s="24" t="s">
        <v>21</v>
      </c>
      <c r="C18" s="9">
        <v>-279498.40890240151</v>
      </c>
      <c r="D18" s="8" t="s">
        <v>3</v>
      </c>
      <c r="E18" s="1"/>
    </row>
    <row r="19" spans="1:5" x14ac:dyDescent="0.25">
      <c r="A19" s="1"/>
      <c r="B19" s="24" t="s">
        <v>22</v>
      </c>
      <c r="C19" s="9">
        <v>0</v>
      </c>
      <c r="D19" s="8" t="s">
        <v>3</v>
      </c>
      <c r="E19" s="1"/>
    </row>
    <row r="20" spans="1:5" x14ac:dyDescent="0.25">
      <c r="A20" s="1"/>
      <c r="B20" s="73" t="s">
        <v>19</v>
      </c>
      <c r="C20" s="10">
        <v>31072174.062495012</v>
      </c>
      <c r="D20" s="11" t="s">
        <v>3</v>
      </c>
      <c r="E20" s="1"/>
    </row>
    <row r="21" spans="1:5" x14ac:dyDescent="0.25">
      <c r="A21" s="1"/>
      <c r="B21" s="52" t="s">
        <v>11</v>
      </c>
      <c r="C21" s="53"/>
      <c r="D21" s="19"/>
      <c r="E21" s="1"/>
    </row>
    <row r="22" spans="1:5" x14ac:dyDescent="0.25">
      <c r="A22" s="1"/>
      <c r="B22" s="54" t="s">
        <v>11</v>
      </c>
      <c r="C22" s="10">
        <v>38109303.261590399</v>
      </c>
      <c r="D22" s="11" t="s">
        <v>3</v>
      </c>
      <c r="E22" s="1"/>
    </row>
    <row r="23" spans="1:5" x14ac:dyDescent="0.25">
      <c r="A23" s="1"/>
      <c r="B23" s="52" t="s">
        <v>39</v>
      </c>
      <c r="C23" s="53"/>
      <c r="D23" s="19"/>
      <c r="E23" s="1"/>
    </row>
    <row r="24" spans="1:5" ht="1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79</v>
      </c>
      <c r="C26" s="9">
        <v>0</v>
      </c>
      <c r="D26" s="8" t="s">
        <v>3</v>
      </c>
      <c r="E26" s="1"/>
    </row>
    <row r="27" spans="1:5" ht="14.25" customHeight="1" x14ac:dyDescent="0.25">
      <c r="A27" s="1"/>
      <c r="B27" s="24" t="s">
        <v>80</v>
      </c>
      <c r="C27" s="9">
        <v>0</v>
      </c>
      <c r="D27" s="8" t="s">
        <v>3</v>
      </c>
      <c r="E27" s="1"/>
    </row>
    <row r="28" spans="1:5" ht="14.25" customHeight="1" x14ac:dyDescent="0.25">
      <c r="A28" s="1"/>
      <c r="B28" s="73" t="s">
        <v>40</v>
      </c>
      <c r="C28" s="50">
        <v>0</v>
      </c>
      <c r="D28" s="11" t="s">
        <v>3</v>
      </c>
      <c r="E28" s="1"/>
    </row>
    <row r="29" spans="1:5" x14ac:dyDescent="0.25">
      <c r="A29" s="1"/>
      <c r="B29" s="25" t="s">
        <v>65</v>
      </c>
      <c r="C29" s="53"/>
      <c r="D29" s="19"/>
      <c r="E29" s="1"/>
    </row>
    <row r="30" spans="1:5" x14ac:dyDescent="0.25">
      <c r="A30" s="1"/>
      <c r="B30" s="58" t="s">
        <v>66</v>
      </c>
      <c r="C30" s="10">
        <v>-445307</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52" t="s">
        <v>67</v>
      </c>
      <c r="C33" s="29">
        <v>68736170.324085414</v>
      </c>
      <c r="D33" s="19" t="s">
        <v>3</v>
      </c>
      <c r="E33" s="1"/>
    </row>
    <row r="34" spans="1:5" ht="30" customHeight="1" x14ac:dyDescent="0.25">
      <c r="A34" s="1"/>
      <c r="B34" s="96" t="s">
        <v>193</v>
      </c>
      <c r="C34" s="96"/>
      <c r="D34" s="96"/>
      <c r="E34" s="1"/>
    </row>
    <row r="35" spans="1:5" ht="27.75" customHeight="1"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Ci/FkGXusZsYytTdzFQIzGszFJFEL9nPVfdQDoht8cZtngoV1icphBc+xHss4b2JacPMPjR1R+n1/8H8b/yJ5w==" saltValue="IbdbugUGh832Ni60vKqrWQ=="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5" t="s">
        <v>53</v>
      </c>
      <c r="C3" s="95"/>
      <c r="D3" s="95"/>
      <c r="E3" s="1"/>
    </row>
    <row r="4" spans="1:5" ht="15" customHeight="1" x14ac:dyDescent="0.25">
      <c r="A4" s="1"/>
      <c r="B4" s="95"/>
      <c r="C4" s="95"/>
      <c r="D4" s="95"/>
      <c r="E4" s="1"/>
    </row>
    <row r="5" spans="1:5" ht="15" customHeight="1" x14ac:dyDescent="0.25">
      <c r="A5" s="1"/>
      <c r="B5" s="95"/>
      <c r="C5" s="95"/>
      <c r="D5" s="95"/>
      <c r="E5" s="1"/>
    </row>
    <row r="6" spans="1:5" ht="15" customHeight="1" x14ac:dyDescent="0.25">
      <c r="A6" s="1"/>
      <c r="B6" s="67"/>
      <c r="C6" s="67"/>
      <c r="D6" s="67"/>
      <c r="E6" s="1"/>
    </row>
    <row r="7" spans="1:5" x14ac:dyDescent="0.25">
      <c r="A7" s="1"/>
      <c r="B7" s="1"/>
      <c r="C7" s="32"/>
      <c r="D7" s="1"/>
      <c r="E7" s="1"/>
    </row>
    <row r="8" spans="1:5" x14ac:dyDescent="0.25">
      <c r="A8" s="1"/>
      <c r="B8" s="97" t="s">
        <v>75</v>
      </c>
      <c r="C8" s="98"/>
      <c r="D8" s="99"/>
      <c r="E8" s="1"/>
    </row>
    <row r="9" spans="1:5" x14ac:dyDescent="0.25">
      <c r="A9" s="1"/>
      <c r="B9" s="56" t="s">
        <v>167</v>
      </c>
      <c r="C9" s="22">
        <v>12501605.348505041</v>
      </c>
      <c r="D9" s="14" t="s">
        <v>3</v>
      </c>
      <c r="E9" s="1"/>
    </row>
    <row r="10" spans="1:5" x14ac:dyDescent="0.25">
      <c r="A10" s="1"/>
      <c r="B10" s="56" t="s">
        <v>110</v>
      </c>
      <c r="C10" s="22">
        <f>('Fane 3. Omkostninger i ØR2024'!C10+'Fane 3. Omkostninger i ØR2024'!C12+'Fane 3. Omkostninger i ØR2024'!C14)*(1+'Fane 13. Nøgletal'!C10)</f>
        <v>1473315.09661504</v>
      </c>
      <c r="D10" s="14" t="s">
        <v>3</v>
      </c>
      <c r="E10" s="1"/>
    </row>
    <row r="11" spans="1:5" x14ac:dyDescent="0.25">
      <c r="A11" s="1"/>
      <c r="B11" s="56" t="s">
        <v>81</v>
      </c>
      <c r="C11" s="22">
        <f>C9*'Fane 13. Nøgletal'!C23+C10*'Fane 13. Nøgletal'!C23</f>
        <v>279498.40890240163</v>
      </c>
      <c r="D11" s="14" t="s">
        <v>3</v>
      </c>
      <c r="E11" s="1"/>
    </row>
    <row r="12" spans="1:5" x14ac:dyDescent="0.25">
      <c r="A12" s="1"/>
      <c r="B12" s="52"/>
      <c r="C12" s="31"/>
      <c r="D12" s="19"/>
      <c r="E12" s="1"/>
    </row>
    <row r="13" spans="1:5" x14ac:dyDescent="0.25">
      <c r="A13" s="1"/>
      <c r="B13" s="1"/>
      <c r="C13" s="32"/>
      <c r="D13" s="1"/>
      <c r="E13" s="1"/>
    </row>
    <row r="14" spans="1:5" x14ac:dyDescent="0.25">
      <c r="A14" s="1"/>
      <c r="B14" s="97" t="s">
        <v>153</v>
      </c>
      <c r="C14" s="98"/>
      <c r="D14" s="99"/>
      <c r="E14" s="1"/>
    </row>
    <row r="15" spans="1:5" x14ac:dyDescent="0.25">
      <c r="A15" s="1"/>
      <c r="B15" s="56" t="s">
        <v>168</v>
      </c>
      <c r="C15" s="22">
        <f>(C9+C10-C11)*(1+'Fane 13. Nøgletal'!C11)</f>
        <v>14603428.517218912</v>
      </c>
      <c r="D15" s="14" t="s">
        <v>3</v>
      </c>
      <c r="E15" s="1"/>
    </row>
    <row r="16" spans="1:5" x14ac:dyDescent="0.25">
      <c r="A16" s="1"/>
      <c r="B16" s="56" t="s">
        <v>154</v>
      </c>
      <c r="C16" s="22">
        <f>('Fane 2.1. Økonomisk ramme 2025'!C10+'Fane 2.1. Økonomisk ramme 2025'!C12+'Fane 2.1. Økonomisk ramme 2025'!C14)*(1+'Fane 13. Nøgletal'!C11)</f>
        <v>2539501.4765331103</v>
      </c>
      <c r="D16" s="14" t="s">
        <v>3</v>
      </c>
      <c r="E16" s="1"/>
    </row>
    <row r="17" spans="1:5" x14ac:dyDescent="0.25">
      <c r="A17" s="1"/>
      <c r="B17" s="56" t="s">
        <v>155</v>
      </c>
      <c r="C17" s="22">
        <f>(C15+C16)*'Fane 13. Nøgletal'!C23</f>
        <v>342858.59987504041</v>
      </c>
      <c r="D17" s="14" t="s">
        <v>3</v>
      </c>
      <c r="E17" s="1"/>
    </row>
    <row r="18" spans="1:5" x14ac:dyDescent="0.25">
      <c r="A18" s="1"/>
      <c r="B18" s="52"/>
      <c r="C18" s="31"/>
      <c r="D18" s="19"/>
      <c r="E18" s="1"/>
    </row>
    <row r="19" spans="1:5" x14ac:dyDescent="0.25">
      <c r="A19" s="1"/>
      <c r="B19" s="1"/>
      <c r="C19" s="32"/>
      <c r="D19" s="1"/>
      <c r="E19" s="1"/>
    </row>
    <row r="20" spans="1:5" x14ac:dyDescent="0.25">
      <c r="A20" s="1"/>
      <c r="B20" s="97" t="s">
        <v>170</v>
      </c>
      <c r="C20" s="98"/>
      <c r="D20" s="99"/>
      <c r="E20" s="1"/>
    </row>
    <row r="21" spans="1:5" x14ac:dyDescent="0.25">
      <c r="A21" s="1"/>
      <c r="B21" s="56" t="s">
        <v>169</v>
      </c>
      <c r="C21" s="48">
        <f>(C15+C16-C17)*(1+'Fane 13. Nøgletal'!C11)</f>
        <v>17913916.127291024</v>
      </c>
      <c r="D21" s="14" t="s">
        <v>3</v>
      </c>
      <c r="E21" s="1"/>
    </row>
    <row r="22" spans="1:5" x14ac:dyDescent="0.25">
      <c r="A22" s="1"/>
      <c r="B22" s="56" t="s">
        <v>171</v>
      </c>
      <c r="C22" s="48">
        <f>(C21)*'Fane 13. Nøgletal'!C23</f>
        <v>358278.3225458205</v>
      </c>
      <c r="D22" s="14" t="s">
        <v>3</v>
      </c>
      <c r="E22" s="1"/>
    </row>
    <row r="23" spans="1:5" x14ac:dyDescent="0.25">
      <c r="A23" s="1"/>
      <c r="B23" s="52"/>
      <c r="C23" s="31"/>
      <c r="D23" s="19"/>
      <c r="E23" s="1"/>
    </row>
    <row r="24" spans="1:5" x14ac:dyDescent="0.25">
      <c r="A24" s="1"/>
      <c r="B24" s="1"/>
      <c r="C24" s="32"/>
      <c r="D24" s="1"/>
      <c r="E24" s="1"/>
    </row>
    <row r="25" spans="1:5" x14ac:dyDescent="0.25">
      <c r="A25" s="1"/>
      <c r="B25" s="97" t="s">
        <v>116</v>
      </c>
      <c r="C25" s="98"/>
      <c r="D25" s="99"/>
      <c r="E25" s="1"/>
    </row>
    <row r="26" spans="1:5" x14ac:dyDescent="0.25">
      <c r="A26" s="1"/>
      <c r="B26" s="56" t="s">
        <v>117</v>
      </c>
      <c r="C26" s="48">
        <f>(C21-C22)*(1+'Fane 13. Nøgletal'!C11)</f>
        <v>18719576.591199812</v>
      </c>
      <c r="D26" s="14" t="s">
        <v>3</v>
      </c>
      <c r="E26" s="1"/>
    </row>
    <row r="27" spans="1:5" x14ac:dyDescent="0.25">
      <c r="A27" s="1"/>
      <c r="B27" s="56" t="s">
        <v>118</v>
      </c>
      <c r="C27" s="48">
        <f>(C26)*'Fane 13. Nøgletal'!C23</f>
        <v>374391.53182399622</v>
      </c>
      <c r="D27" s="14" t="s">
        <v>3</v>
      </c>
      <c r="E27" s="1"/>
    </row>
    <row r="28" spans="1:5" x14ac:dyDescent="0.25">
      <c r="A28" s="1"/>
      <c r="B28" s="52"/>
      <c r="C28" s="42"/>
      <c r="D28" s="19"/>
      <c r="E28" s="1"/>
    </row>
    <row r="29" spans="1:5" x14ac:dyDescent="0.25">
      <c r="A29" s="1"/>
      <c r="B29" s="1"/>
      <c r="C29" s="32"/>
      <c r="D29" s="1"/>
      <c r="E29" s="1"/>
    </row>
    <row r="30" spans="1:5" x14ac:dyDescent="0.25">
      <c r="A30" s="1"/>
      <c r="B30" s="97" t="s">
        <v>136</v>
      </c>
      <c r="C30" s="98"/>
      <c r="D30" s="99"/>
      <c r="E30" s="1"/>
    </row>
    <row r="31" spans="1:5" x14ac:dyDescent="0.25">
      <c r="A31" s="1"/>
      <c r="B31" s="56" t="s">
        <v>137</v>
      </c>
      <c r="C31" s="48">
        <f>(C26-C27)*(1+'Fane 13. Nøgletal'!C11)</f>
        <v>19561470.828812432</v>
      </c>
      <c r="D31" s="14" t="s">
        <v>3</v>
      </c>
      <c r="E31" s="1"/>
    </row>
    <row r="32" spans="1:5" x14ac:dyDescent="0.25">
      <c r="A32" s="1"/>
      <c r="B32" s="56" t="s">
        <v>138</v>
      </c>
      <c r="C32" s="48">
        <f>(C31)*'Fane 13. Nøgletal'!C23</f>
        <v>391229.41657624865</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B9FwmIXQRlvZQl3WeLEMmfq05MO0MqQS8sVkpHArmLLMoO6iiOf/qJSjf36AwZQ+AdkqWj50fMlfcSueJWV9pw==" saltValue="+il/sMWeMsNKCHM59xkJrA=="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0" t="s">
        <v>54</v>
      </c>
      <c r="C3" s="101"/>
      <c r="D3" s="101"/>
      <c r="E3" s="1"/>
    </row>
    <row r="4" spans="1:5" ht="15" customHeight="1" x14ac:dyDescent="0.25">
      <c r="A4" s="1"/>
      <c r="B4" s="101"/>
      <c r="C4" s="101"/>
      <c r="D4" s="101"/>
      <c r="E4" s="1"/>
    </row>
    <row r="5" spans="1:5" ht="15" customHeight="1" x14ac:dyDescent="0.25">
      <c r="A5" s="1"/>
      <c r="B5" s="101"/>
      <c r="C5" s="101"/>
      <c r="D5" s="101"/>
      <c r="E5" s="1"/>
    </row>
    <row r="6" spans="1:5" ht="15" customHeight="1" x14ac:dyDescent="0.25">
      <c r="A6" s="1"/>
      <c r="B6" s="1"/>
      <c r="C6" s="1"/>
      <c r="D6" s="1"/>
      <c r="E6" s="1"/>
    </row>
    <row r="7" spans="1:5" ht="15" customHeight="1" x14ac:dyDescent="0.25">
      <c r="A7" s="1"/>
      <c r="B7" s="1"/>
      <c r="C7" s="1"/>
      <c r="D7" s="1"/>
      <c r="E7" s="1"/>
    </row>
    <row r="8" spans="1:5" x14ac:dyDescent="0.25">
      <c r="A8" s="1"/>
      <c r="B8" s="97" t="s">
        <v>76</v>
      </c>
      <c r="C8" s="98"/>
      <c r="D8" s="99"/>
      <c r="E8" s="1"/>
    </row>
    <row r="9" spans="1:5" x14ac:dyDescent="0.25">
      <c r="A9" s="1"/>
      <c r="B9" s="56" t="s">
        <v>162</v>
      </c>
      <c r="C9" s="48">
        <v>21582071.349681947</v>
      </c>
      <c r="D9" s="14" t="s">
        <v>3</v>
      </c>
      <c r="E9" s="1"/>
    </row>
    <row r="10" spans="1:5" x14ac:dyDescent="0.25">
      <c r="A10" s="1"/>
      <c r="B10" s="56" t="s">
        <v>113</v>
      </c>
      <c r="C10" s="48">
        <f>('Fane 3. Omkostninger i ØR2024'!C11+'Fane 3. Omkostninger i ØR2024'!C13+'Fane 3. Omkostninger i ØR2024'!C15)*(1+'Fane 13. Nøgletal'!C10)</f>
        <v>8124.3346911999997</v>
      </c>
      <c r="D10" s="14" t="s">
        <v>3</v>
      </c>
      <c r="E10" s="1"/>
    </row>
    <row r="11" spans="1:5" x14ac:dyDescent="0.25">
      <c r="A11" s="1"/>
      <c r="B11" s="56" t="s">
        <v>114</v>
      </c>
      <c r="C11" s="48">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7" t="s">
        <v>156</v>
      </c>
      <c r="C14" s="98"/>
      <c r="D14" s="99"/>
      <c r="E14" s="1"/>
    </row>
    <row r="15" spans="1:5" x14ac:dyDescent="0.25">
      <c r="A15" s="1"/>
      <c r="B15" s="56" t="s">
        <v>163</v>
      </c>
      <c r="C15" s="48">
        <f>(C9+C10-C11)*(1+'Fane 13. Nøgletal'!C11)</f>
        <v>23021625.658247087</v>
      </c>
      <c r="D15" s="14" t="s">
        <v>3</v>
      </c>
      <c r="E15" s="1"/>
    </row>
    <row r="16" spans="1:5" x14ac:dyDescent="0.25">
      <c r="A16" s="1"/>
      <c r="B16" s="56" t="s">
        <v>157</v>
      </c>
      <c r="C16" s="48">
        <f>('Fane 2.1. Økonomisk ramme 2025'!C11+'Fane 2.1. Økonomisk ramme 2025'!C13+'Fane 2.1. Økonomisk ramme 2025'!C15)*(1+'Fane 13. Nøgletal'!C11)</f>
        <v>696744.60302609298</v>
      </c>
      <c r="D16" s="14" t="s">
        <v>3</v>
      </c>
      <c r="E16" s="1"/>
    </row>
    <row r="17" spans="1:5" x14ac:dyDescent="0.25">
      <c r="A17" s="1"/>
      <c r="B17" s="56" t="s">
        <v>158</v>
      </c>
      <c r="C17" s="48">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7" t="s">
        <v>166</v>
      </c>
      <c r="C20" s="98"/>
      <c r="D20" s="99"/>
      <c r="E20" s="1"/>
    </row>
    <row r="21" spans="1:5" x14ac:dyDescent="0.25">
      <c r="A21" s="1"/>
      <c r="B21" s="56" t="s">
        <v>164</v>
      </c>
      <c r="C21" s="48">
        <f>(C15+C16-C17)*(1+'Fane 13. Nøgletal'!C11)</f>
        <v>25290898.209595591</v>
      </c>
      <c r="D21" s="14" t="s">
        <v>3</v>
      </c>
      <c r="E21" s="1"/>
    </row>
    <row r="22" spans="1:5" x14ac:dyDescent="0.25">
      <c r="A22" s="1"/>
      <c r="B22" s="56" t="s">
        <v>165</v>
      </c>
      <c r="C22" s="48">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7" t="s">
        <v>119</v>
      </c>
      <c r="C25" s="98"/>
      <c r="D25" s="99"/>
      <c r="E25" s="1"/>
    </row>
    <row r="26" spans="1:5" x14ac:dyDescent="0.25">
      <c r="A26" s="1"/>
      <c r="B26" s="56" t="s">
        <v>120</v>
      </c>
      <c r="C26" s="48">
        <f>(C21-C22)*(1+'Fane 13. Nøgletal'!C11)</f>
        <v>26967684.76089178</v>
      </c>
      <c r="D26" s="14" t="s">
        <v>3</v>
      </c>
      <c r="E26" s="1"/>
    </row>
    <row r="27" spans="1:5" x14ac:dyDescent="0.25">
      <c r="A27" s="1"/>
      <c r="B27" s="56" t="s">
        <v>121</v>
      </c>
      <c r="C27" s="48">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7" t="s">
        <v>139</v>
      </c>
      <c r="C30" s="98"/>
      <c r="D30" s="99"/>
      <c r="E30" s="1"/>
    </row>
    <row r="31" spans="1:5" x14ac:dyDescent="0.25">
      <c r="A31" s="1"/>
      <c r="B31" s="56" t="s">
        <v>140</v>
      </c>
      <c r="C31" s="48">
        <f>(C26-C27)*(1+'Fane 13. Nøgletal'!C11)</f>
        <v>28755642.260538906</v>
      </c>
      <c r="D31" s="14" t="s">
        <v>3</v>
      </c>
      <c r="E31" s="1"/>
    </row>
    <row r="32" spans="1:5" x14ac:dyDescent="0.25">
      <c r="A32" s="1"/>
      <c r="B32" s="56" t="s">
        <v>141</v>
      </c>
      <c r="C32" s="48">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xmNfXJ8iS7tKElv7pfoteRaI+oc4Ew4G3n88EaZg33rmN2+IWjL/dZ6mzoWVXCPFWHQ0pNdu88lmjh9ilYma6Q==" saltValue="UpAt3CD+7f/vpALj4DPAqQ=="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3" t="s">
        <v>41</v>
      </c>
      <c r="C3" s="93"/>
      <c r="D3" s="1"/>
    </row>
    <row r="4" spans="1:4" ht="15" customHeight="1" x14ac:dyDescent="0.25">
      <c r="A4" s="1"/>
      <c r="B4" s="93"/>
      <c r="C4" s="93"/>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7" t="s">
        <v>9</v>
      </c>
      <c r="C8" s="99"/>
      <c r="D8" s="1"/>
    </row>
    <row r="9" spans="1:4" x14ac:dyDescent="0.25">
      <c r="A9" s="1"/>
      <c r="B9" s="56" t="s">
        <v>160</v>
      </c>
      <c r="C9" s="44">
        <v>0.02</v>
      </c>
      <c r="D9" s="1"/>
    </row>
    <row r="10" spans="1:4" x14ac:dyDescent="0.25">
      <c r="A10" s="1"/>
      <c r="B10" s="52"/>
      <c r="C10" s="19"/>
      <c r="D10" s="1"/>
    </row>
    <row r="11" spans="1:4" ht="15" customHeight="1" x14ac:dyDescent="0.25">
      <c r="A11" s="1"/>
      <c r="B11" s="102" t="s">
        <v>161</v>
      </c>
      <c r="C11" s="103"/>
      <c r="D11" s="1"/>
    </row>
    <row r="12" spans="1:4" ht="13.5" customHeight="1" x14ac:dyDescent="0.25">
      <c r="A12" s="1"/>
      <c r="B12" s="104"/>
      <c r="C12" s="10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414cj7lyyh8/uLBtBlLzKSe1FZMn/zm+m8eHHrtZAhurO0ifw7JwF3l/tugMo6e7fI9MeA/LKwNxgvzfvG+TWA==" saltValue="vcqZzGOUhwsIgUJ2gLggZ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2024-10-11T10:21:52Z</dcterms:modified>
</cp:coreProperties>
</file>