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Rønne Vand AS (V160)\ØR2025\"/>
    </mc:Choice>
  </mc:AlternateContent>
  <xr:revisionPtr revIDLastSave="0" documentId="13_ncr:1_{B0150464-2800-4D32-9379-22F79063436B}"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<sst xmlns="http://schemas.openxmlformats.org/spreadsheetml/2006/main" count="446" uniqueCount="202">
  <si>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</si>
  <si>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</si>
  <si>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</si>
  <si>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</si>
  <si>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</si>
  <si>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</si>
  <si>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</si>
  <si>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</si>
  <si>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</si>
  <si>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</si>
  <si>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</si>
  <si>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</si>
  <si>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</si>
  <si>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</si>
  <si>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</si>
  <si>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</si>
  <si>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</si>
  <si>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</si>
  <si>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</si>
  <si>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</si>
  <si>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</si>
  <si>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</si>
  <si>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</si>
  <si>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</si>
  <si>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</si>
  <si>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</si>
  <si>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</si>
  <si>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</si>
  <si>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</si>
  <si>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</si>
  <si>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</si>
  <si>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</si>
  <si>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</si>
  <si>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</si>
  <si>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</si>
  <si>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</si>
  <si>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</si>
  <si>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</si>
  <si>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</si>
  <si>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</si>
  <si>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</si>
  <si>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</si>
  <si>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</si>
  <si>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</si>
  <si>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</si>
  <si>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</si>
  <si>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</si>
  <si>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</si>
  <si>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</si>
  <si>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</si>
  <si>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</si>
  <si>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</si>
  <si>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</si>
  <si>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</si>
  <si>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</si>
  <si>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</si>
  <si>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</si>
  <si>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</si>
  <si>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</si>
  <si>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</si>
  <si>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</si>
  <si>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</si>
  <si>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</si>
  <si>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</si>
  <si>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</si>
  <si>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</si>
  <si>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</si>
  <si>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</si>
  <si>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</si>
  <si>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</si>
  <si>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</si>
  <si>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</si>
  <si>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</si>
  <si>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</si>
  <si>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</si>
  <si>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</si>
  <si>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</si>
  <si>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</si>
  <si>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</si>
  <si>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</si>
  <si>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</si>
  <si>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</si>
  <si>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</si>
  <si>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</si>
  <si>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</si>
  <si>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</si>
  <si>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</si>
  <si>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</si>
  <si>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</si>
  <si>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</si>
  <si>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</si>
  <si>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</si>
  <si>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</si>
  <si>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</si>
  <si>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</si>
  <si>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</si>
  <si>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</si>
  <si>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</si>
  <si>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</si>
  <si>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</si>
  <si>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</si>
  <si>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</si>
  <si>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</si>
  <si>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</si>
  <si>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</si>
  <si>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</si>
  <si>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</si>
  <si>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</si>
  <si>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</si>
  <si>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</si>
  <si>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</si>
  <si>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</si>
  <si>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</si>
  <si>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</si>
  <si>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</si>
  <si>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</si>
  <si>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</si>
  <si>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</si>
  <si>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</si>
  <si>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</si>
  <si>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</si>
  <si>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</si>
  <si>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</si>
  <si>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</si>
  <si>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</si>
  <si>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</si>
  <si>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</si>
  <si>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</si>
  <si>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</si>
  <si>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</si>
  <si>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</si>
  <si>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</si>
  <si>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</si>
  <si>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</si>
  <si>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</si>
  <si>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</si>
  <si>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</si>
  <si>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</si>
  <si>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</si>
  <si>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</si>
  <si>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</si>
  <si>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</si>
  <si>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</si>
  <si>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</si>
  <si>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</si>
  <si>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</si>
  <si>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</si>
  <si>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</si>
  <si>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</si>
  <si>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</si>
  <si>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</si>
  <si>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</si>
  <si>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</si>
  <si>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</si>
  <si>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</si>
  <si>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</si>
  <si>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</si>
  <si>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</si>
  <si>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</si>
  <si>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</si>
  <si>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</si>
  <si>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</si>
  <si>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</si>
  <si>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</si>
  <si>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</si>
  <si>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</si>
  <si>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</si>
  <si>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</si>
  <si>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</si>
  <si>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</si>
  <si>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</si>
  <si>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</si>
  <si>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</si>
  <si>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</si>
  <si>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</si>
  <si>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</si>
  <si>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</si>
  <si>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</si>
  <si>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</si>
  <si>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</si>
  <si>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</si>
  <si>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</si>
  <si>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</si>
  <si>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</si>
  <si>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</si>
  <si>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</si>
  <si>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</si>
  <si>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</si>
  <si>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</si>
  <si>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</si>
  <si>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</si>
  <si>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</si>
  <si>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</si>
  <si>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</si>
  <si>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</si>
  <si>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</si>
  <si>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</si>
  <si>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</si>
  <si>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</si>
  <si>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Ejendomsskatter</t>
  </si>
  <si>
    <t>Tjenestemandspensioner</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</si>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</sst>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1" fontId="8" fillId="0"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8" t="s">
        <v>4</v>
      </c>
      <c r="D6" s="88"/>
      <c r="E6" s="88"/>
      <c r="F6" s="88"/>
      <c r="G6" s="1"/>
    </row>
    <row r="7" spans="1:7" ht="15" customHeight="1" x14ac:dyDescent="0.25">
      <c r="A7" s="1"/>
      <c r="B7" s="3"/>
      <c r="C7" s="88"/>
      <c r="D7" s="88"/>
      <c r="E7" s="88"/>
      <c r="F7" s="88"/>
      <c r="G7" s="1"/>
    </row>
    <row r="8" spans="1:7" ht="15.75" x14ac:dyDescent="0.25">
      <c r="A8" s="1"/>
      <c r="B8" s="4"/>
      <c r="C8" s="90" t="s">
        <v>196</v>
      </c>
      <c r="D8" s="90"/>
      <c r="E8" s="90"/>
      <c r="F8" s="90"/>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9" t="s">
        <v>5</v>
      </c>
      <c r="D11" s="89"/>
      <c r="E11" s="89"/>
      <c r="F11" s="89"/>
      <c r="G11" s="1"/>
    </row>
    <row r="12" spans="1:7" x14ac:dyDescent="0.25">
      <c r="A12" s="1"/>
      <c r="B12" s="1"/>
      <c r="C12" s="1"/>
      <c r="D12" s="1"/>
      <c r="E12" s="1"/>
      <c r="F12" s="1"/>
      <c r="G12" s="1"/>
    </row>
    <row r="13" spans="1:7" x14ac:dyDescent="0.25">
      <c r="A13" s="1"/>
      <c r="B13" s="6" t="s">
        <v>6</v>
      </c>
      <c r="C13" s="85" t="s">
        <v>124</v>
      </c>
      <c r="D13" s="86"/>
      <c r="E13" s="86"/>
      <c r="F13" s="87"/>
      <c r="G13" s="1"/>
    </row>
    <row r="14" spans="1:7" x14ac:dyDescent="0.25">
      <c r="A14" s="1"/>
      <c r="B14" s="6" t="s">
        <v>14</v>
      </c>
      <c r="C14" s="85" t="s">
        <v>159</v>
      </c>
      <c r="D14" s="86"/>
      <c r="E14" s="86"/>
      <c r="F14" s="87"/>
      <c r="G14" s="1"/>
    </row>
    <row r="15" spans="1:7" x14ac:dyDescent="0.25">
      <c r="A15" s="1"/>
      <c r="B15" s="6" t="s">
        <v>29</v>
      </c>
      <c r="C15" s="85" t="s">
        <v>107</v>
      </c>
      <c r="D15" s="86"/>
      <c r="E15" s="86"/>
      <c r="F15" s="87"/>
      <c r="G15" s="1"/>
    </row>
    <row r="16" spans="1:7" x14ac:dyDescent="0.25">
      <c r="A16" s="1"/>
      <c r="B16" s="6" t="s">
        <v>30</v>
      </c>
      <c r="C16" s="85" t="s">
        <v>125</v>
      </c>
      <c r="D16" s="86"/>
      <c r="E16" s="86"/>
      <c r="F16" s="87"/>
      <c r="G16" s="1"/>
    </row>
    <row r="17" spans="1:7" x14ac:dyDescent="0.25">
      <c r="A17" s="1"/>
      <c r="B17" s="6" t="s">
        <v>57</v>
      </c>
      <c r="C17" s="85" t="s">
        <v>126</v>
      </c>
      <c r="D17" s="86"/>
      <c r="E17" s="86"/>
      <c r="F17" s="87"/>
      <c r="G17" s="1"/>
    </row>
    <row r="18" spans="1:7" x14ac:dyDescent="0.25">
      <c r="A18" s="1"/>
      <c r="B18" s="6" t="s">
        <v>49</v>
      </c>
      <c r="C18" s="91" t="s">
        <v>42</v>
      </c>
      <c r="D18" s="92"/>
      <c r="E18" s="92"/>
      <c r="F18" s="93"/>
      <c r="G18" s="1"/>
    </row>
    <row r="19" spans="1:7" x14ac:dyDescent="0.25">
      <c r="A19" s="1"/>
      <c r="B19" s="6" t="s">
        <v>50</v>
      </c>
      <c r="C19" s="91" t="s">
        <v>43</v>
      </c>
      <c r="D19" s="92"/>
      <c r="E19" s="92"/>
      <c r="F19" s="93"/>
      <c r="G19" s="1"/>
    </row>
    <row r="20" spans="1:7" x14ac:dyDescent="0.25">
      <c r="A20" s="1"/>
      <c r="B20" s="6" t="s">
        <v>7</v>
      </c>
      <c r="C20" s="91" t="s">
        <v>9</v>
      </c>
      <c r="D20" s="92"/>
      <c r="E20" s="92"/>
      <c r="F20" s="93"/>
      <c r="G20" s="1"/>
    </row>
    <row r="21" spans="1:7" x14ac:dyDescent="0.25">
      <c r="A21" s="1"/>
      <c r="B21" s="6" t="s">
        <v>51</v>
      </c>
      <c r="C21" s="82" t="s">
        <v>11</v>
      </c>
      <c r="D21" s="83"/>
      <c r="E21" s="83"/>
      <c r="F21" s="84"/>
      <c r="G21" s="1"/>
    </row>
    <row r="22" spans="1:7" x14ac:dyDescent="0.25">
      <c r="A22" s="1"/>
      <c r="B22" s="6" t="s">
        <v>37</v>
      </c>
      <c r="C22" s="76" t="s">
        <v>127</v>
      </c>
      <c r="D22" s="77"/>
      <c r="E22" s="77"/>
      <c r="F22" s="78"/>
      <c r="G22" s="1"/>
    </row>
    <row r="23" spans="1:7" x14ac:dyDescent="0.25">
      <c r="A23" s="1"/>
      <c r="B23" s="6" t="s">
        <v>8</v>
      </c>
      <c r="C23" s="76" t="s">
        <v>89</v>
      </c>
      <c r="D23" s="77"/>
      <c r="E23" s="77"/>
      <c r="F23" s="78"/>
      <c r="G23" s="1"/>
    </row>
    <row r="24" spans="1:7" x14ac:dyDescent="0.25">
      <c r="A24" s="1"/>
      <c r="B24" s="6" t="s">
        <v>85</v>
      </c>
      <c r="C24" s="76" t="s">
        <v>78</v>
      </c>
      <c r="D24" s="77"/>
      <c r="E24" s="77"/>
      <c r="F24" s="78"/>
      <c r="G24" s="1"/>
    </row>
    <row r="25" spans="1:7" x14ac:dyDescent="0.25">
      <c r="A25" s="1"/>
      <c r="B25" s="6" t="s">
        <v>86</v>
      </c>
      <c r="C25" s="76" t="s">
        <v>38</v>
      </c>
      <c r="D25" s="77"/>
      <c r="E25" s="77"/>
      <c r="F25" s="78"/>
      <c r="G25" s="1"/>
    </row>
    <row r="26" spans="1:7" x14ac:dyDescent="0.25">
      <c r="A26" s="1"/>
      <c r="B26" s="6" t="s">
        <v>87</v>
      </c>
      <c r="C26" s="76" t="s">
        <v>39</v>
      </c>
      <c r="D26" s="77"/>
      <c r="E26" s="77"/>
      <c r="F26" s="78"/>
      <c r="G26" s="1"/>
    </row>
    <row r="27" spans="1:7" x14ac:dyDescent="0.25">
      <c r="A27" s="1"/>
      <c r="B27" s="6" t="s">
        <v>52</v>
      </c>
      <c r="C27" s="76" t="s">
        <v>58</v>
      </c>
      <c r="D27" s="77"/>
      <c r="E27" s="77"/>
      <c r="F27" s="78"/>
      <c r="G27" s="1"/>
    </row>
    <row r="28" spans="1:7" x14ac:dyDescent="0.25">
      <c r="A28" s="1"/>
      <c r="B28" s="6" t="s">
        <v>46</v>
      </c>
      <c r="C28" s="76" t="s">
        <v>31</v>
      </c>
      <c r="D28" s="77"/>
      <c r="E28" s="77"/>
      <c r="F28" s="78"/>
      <c r="G28" s="1"/>
    </row>
    <row r="29" spans="1:7" x14ac:dyDescent="0.25">
      <c r="A29" s="1"/>
      <c r="B29" s="6" t="s">
        <v>88</v>
      </c>
      <c r="C29" s="79" t="s">
        <v>47</v>
      </c>
      <c r="D29" s="80"/>
      <c r="E29" s="80"/>
      <c r="F29" s="8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Z56xZL08gm0HmWljZsvT3I+7zg4Rx/kFW+Sz+kxHEyXV/SDzsl3bnhKWvaQ11a6O2WwGgR6cfoZg3xC4lwPZQ==" saltValue="QSds4RCUCtOpwTT0y0Z1Kg==" spinCount="100000" sheet="1" objects="1" scenarios="1"/>
  <mergeCells count="20">
    <mergeCell ref="C14:F14"/>
    <mergeCell ref="C6:F7"/>
    <mergeCell ref="C22:F22"/>
    <mergeCell ref="C11:F11"/>
    <mergeCell ref="C8:F8"/>
    <mergeCell ref="C15:F15"/>
    <mergeCell ref="C16:F16"/>
    <mergeCell ref="C13:F13"/>
    <mergeCell ref="C17:F17"/>
    <mergeCell ref="C18:F18"/>
    <mergeCell ref="C19:F19"/>
    <mergeCell ref="C20:F20"/>
    <mergeCell ref="C28:F28"/>
    <mergeCell ref="C29:F29"/>
    <mergeCell ref="C21:F21"/>
    <mergeCell ref="C24:F24"/>
    <mergeCell ref="C25:F25"/>
    <mergeCell ref="C27:F27"/>
    <mergeCell ref="C26:F26"/>
    <mergeCell ref="C23:F23"/>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55</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142</v>
      </c>
      <c r="C8" s="99"/>
      <c r="D8" s="100"/>
      <c r="E8" s="1"/>
    </row>
    <row r="9" spans="1:5" ht="15" customHeight="1" x14ac:dyDescent="0.25">
      <c r="A9" s="1"/>
      <c r="B9" s="51" t="s">
        <v>27</v>
      </c>
      <c r="C9" s="45" t="s">
        <v>145</v>
      </c>
      <c r="D9" s="11"/>
      <c r="E9" s="1"/>
    </row>
    <row r="10" spans="1:5" ht="15" customHeight="1" x14ac:dyDescent="0.25">
      <c r="A10" s="1"/>
      <c r="B10" s="64" t="s">
        <v>197</v>
      </c>
      <c r="C10" s="65">
        <v>5433229</v>
      </c>
      <c r="D10" s="14" t="s">
        <v>3</v>
      </c>
      <c r="E10" s="1"/>
    </row>
    <row r="11" spans="1:5" x14ac:dyDescent="0.25">
      <c r="A11" s="1"/>
      <c r="B11" s="64" t="s">
        <v>198</v>
      </c>
      <c r="C11" s="65">
        <v>56322</v>
      </c>
      <c r="D11" s="14" t="s">
        <v>3</v>
      </c>
      <c r="E11" s="1"/>
    </row>
    <row r="12" spans="1:5" x14ac:dyDescent="0.25">
      <c r="A12" s="1"/>
      <c r="B12" s="64" t="s">
        <v>199</v>
      </c>
      <c r="C12" s="65">
        <v>13724</v>
      </c>
      <c r="D12" s="14" t="s">
        <v>3</v>
      </c>
      <c r="E12" s="1"/>
    </row>
    <row r="13" spans="1:5" x14ac:dyDescent="0.25">
      <c r="A13" s="1"/>
      <c r="B13" s="64" t="s">
        <v>200</v>
      </c>
      <c r="C13" s="65">
        <v>289446</v>
      </c>
      <c r="D13" s="14" t="s">
        <v>3</v>
      </c>
      <c r="E13" s="1"/>
    </row>
    <row r="14" spans="1:5" x14ac:dyDescent="0.25">
      <c r="A14" s="1"/>
      <c r="B14" s="64"/>
      <c r="C14" s="65"/>
      <c r="D14" s="14" t="s">
        <v>3</v>
      </c>
      <c r="E14" s="1"/>
    </row>
    <row r="15" spans="1:5" x14ac:dyDescent="0.25">
      <c r="A15" s="1"/>
      <c r="B15" s="64"/>
      <c r="C15" s="65"/>
      <c r="D15" s="14" t="s">
        <v>3</v>
      </c>
      <c r="E15" s="1"/>
    </row>
    <row r="16" spans="1:5" x14ac:dyDescent="0.25">
      <c r="A16" s="1"/>
      <c r="B16" s="64"/>
      <c r="C16" s="65"/>
      <c r="D16" s="14" t="s">
        <v>3</v>
      </c>
      <c r="E16" s="1"/>
    </row>
    <row r="17" spans="1:5" x14ac:dyDescent="0.25">
      <c r="A17" s="1"/>
      <c r="B17" s="64"/>
      <c r="C17" s="65"/>
      <c r="D17" s="14" t="s">
        <v>3</v>
      </c>
      <c r="E17" s="1"/>
    </row>
    <row r="18" spans="1:5" x14ac:dyDescent="0.25">
      <c r="A18" s="1"/>
      <c r="B18" s="64"/>
      <c r="C18" s="65"/>
      <c r="D18" s="14" t="s">
        <v>3</v>
      </c>
      <c r="E18" s="1"/>
    </row>
    <row r="19" spans="1:5" x14ac:dyDescent="0.25">
      <c r="A19" s="1"/>
      <c r="B19" s="52" t="s">
        <v>143</v>
      </c>
      <c r="C19" s="12">
        <f>SUM(C10:C18)</f>
        <v>5792721</v>
      </c>
      <c r="D19" s="13" t="s">
        <v>3</v>
      </c>
      <c r="E19" s="1"/>
    </row>
    <row r="20" spans="1:5" x14ac:dyDescent="0.25">
      <c r="A20" s="1"/>
      <c r="B20" s="52" t="s">
        <v>144</v>
      </c>
      <c r="C20" s="12">
        <f>C19*(1+'Fane 13. Nøgletal'!C11)^2</f>
        <v>6586298.8103724904</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jM079NIpcgnWMj2tXy6gWxzorAXOXgrtajRmIStz7W/EWOZJry6BSUhQXXIwxTVN280qF73jZwT4IOyUsz5Q0A==" saltValue="liDyOSn+9DdaJDd2qY2DH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172</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7"/>
      <c r="C6" s="67"/>
      <c r="D6" s="67"/>
      <c r="E6" s="1"/>
    </row>
    <row r="7" spans="1:5" x14ac:dyDescent="0.25">
      <c r="A7" s="1"/>
      <c r="B7" s="1"/>
      <c r="C7" s="1"/>
      <c r="D7" s="1"/>
      <c r="E7" s="1"/>
    </row>
    <row r="8" spans="1:5" x14ac:dyDescent="0.25">
      <c r="A8" s="1"/>
      <c r="B8" s="98" t="s">
        <v>175</v>
      </c>
      <c r="C8" s="99"/>
      <c r="D8" s="100"/>
      <c r="E8" s="1"/>
    </row>
    <row r="9" spans="1:5" x14ac:dyDescent="0.25">
      <c r="A9" s="1"/>
      <c r="B9" s="56" t="s">
        <v>176</v>
      </c>
      <c r="C9" s="9">
        <v>1364516.8882612363</v>
      </c>
      <c r="D9" s="39" t="s">
        <v>3</v>
      </c>
      <c r="E9" s="1"/>
    </row>
    <row r="10" spans="1:5" x14ac:dyDescent="0.25">
      <c r="A10" s="1"/>
      <c r="B10" s="56" t="s">
        <v>174</v>
      </c>
      <c r="C10" s="9">
        <v>1127448.9809651673</v>
      </c>
      <c r="D10" s="14" t="s">
        <v>3</v>
      </c>
      <c r="E10" s="1"/>
    </row>
    <row r="11" spans="1:5" x14ac:dyDescent="0.25">
      <c r="A11" s="1"/>
      <c r="B11" s="52"/>
      <c r="C11" s="53"/>
      <c r="D11" s="19"/>
      <c r="E11" s="1"/>
    </row>
    <row r="12" spans="1:5" ht="53.85" customHeight="1" x14ac:dyDescent="0.25">
      <c r="A12" s="1"/>
      <c r="B12" s="107" t="s">
        <v>173</v>
      </c>
      <c r="C12" s="108"/>
      <c r="D12" s="109"/>
      <c r="E12" s="1"/>
    </row>
    <row r="13" spans="1:5" x14ac:dyDescent="0.25">
      <c r="A13" s="1"/>
      <c r="B13" s="1"/>
      <c r="C13" s="1"/>
      <c r="D13" s="1"/>
      <c r="E13" s="1"/>
    </row>
    <row r="14" spans="1:5" x14ac:dyDescent="0.25">
      <c r="A14" s="1"/>
      <c r="B14" s="68" t="s">
        <v>177</v>
      </c>
      <c r="C14" s="69"/>
      <c r="D14" s="70"/>
      <c r="E14" s="1"/>
    </row>
    <row r="15" spans="1:5" x14ac:dyDescent="0.25">
      <c r="A15" s="1"/>
      <c r="B15" s="56" t="s">
        <v>178</v>
      </c>
      <c r="C15" s="9">
        <f>IF(C10&lt;0,C10,0)</f>
        <v>0</v>
      </c>
      <c r="D15" s="14" t="s">
        <v>3</v>
      </c>
      <c r="E15" s="1"/>
    </row>
    <row r="16" spans="1:5" x14ac:dyDescent="0.25">
      <c r="A16" s="1"/>
      <c r="B16" s="56" t="s">
        <v>185</v>
      </c>
      <c r="C16" s="9">
        <f>IF(SUM(C9)&gt;0,SUM(C9),0)</f>
        <v>1364516.8882612363</v>
      </c>
      <c r="D16" s="14" t="s">
        <v>3</v>
      </c>
      <c r="E16" s="1"/>
    </row>
    <row r="17" spans="1:5" ht="26.25" x14ac:dyDescent="0.25">
      <c r="A17" s="1"/>
      <c r="B17" s="71" t="s">
        <v>179</v>
      </c>
      <c r="C17" s="62">
        <f>IF(SUM(C15:C16)&gt;0,0,SUM(C15:C16))</f>
        <v>0</v>
      </c>
      <c r="D17" s="17" t="s">
        <v>3</v>
      </c>
      <c r="E17" s="1"/>
    </row>
    <row r="18" spans="1:5" x14ac:dyDescent="0.25">
      <c r="A18" s="1"/>
      <c r="B18" s="52"/>
      <c r="C18" s="53"/>
      <c r="D18" s="19"/>
      <c r="E18" s="1"/>
    </row>
    <row r="19" spans="1:5" x14ac:dyDescent="0.25">
      <c r="A19" s="1"/>
      <c r="B19" s="1"/>
      <c r="C19" s="1"/>
      <c r="D19" s="1"/>
      <c r="E19" s="1"/>
    </row>
    <row r="20" spans="1:5" x14ac:dyDescent="0.25">
      <c r="A20" s="1"/>
      <c r="B20" s="68" t="s">
        <v>180</v>
      </c>
      <c r="C20" s="69"/>
      <c r="D20" s="70"/>
      <c r="E20" s="1"/>
    </row>
    <row r="21" spans="1:5" x14ac:dyDescent="0.25">
      <c r="A21" s="1"/>
      <c r="B21" s="56" t="s">
        <v>181</v>
      </c>
      <c r="C21" s="9">
        <v>17150929.667469531</v>
      </c>
      <c r="D21" s="14" t="s">
        <v>3</v>
      </c>
      <c r="E21" s="1"/>
    </row>
    <row r="22" spans="1:5" x14ac:dyDescent="0.25">
      <c r="A22" s="1"/>
      <c r="B22" s="56" t="s">
        <v>182</v>
      </c>
      <c r="C22" s="9">
        <v>16618457</v>
      </c>
      <c r="D22" s="14" t="s">
        <v>3</v>
      </c>
      <c r="E22" s="1"/>
    </row>
    <row r="23" spans="1:5" x14ac:dyDescent="0.25">
      <c r="A23" s="1"/>
      <c r="B23" s="56" t="s">
        <v>28</v>
      </c>
      <c r="C23" s="9">
        <v>0</v>
      </c>
      <c r="D23" s="14" t="s">
        <v>3</v>
      </c>
      <c r="E23" s="1"/>
    </row>
    <row r="24" spans="1:5" x14ac:dyDescent="0.25">
      <c r="A24" s="1"/>
      <c r="B24" s="73" t="s">
        <v>183</v>
      </c>
      <c r="C24" s="46">
        <f>C21-C22-C23</f>
        <v>532472.6674695313</v>
      </c>
      <c r="D24" s="17" t="s">
        <v>3</v>
      </c>
      <c r="E24" s="1"/>
    </row>
    <row r="25" spans="1:5" x14ac:dyDescent="0.25">
      <c r="A25" s="1"/>
      <c r="B25" s="52"/>
      <c r="C25" s="53"/>
      <c r="D25" s="19"/>
      <c r="E25" s="1"/>
    </row>
    <row r="26" spans="1:5" x14ac:dyDescent="0.25">
      <c r="A26" s="1"/>
      <c r="B26" s="1"/>
      <c r="C26" s="1"/>
      <c r="D26" s="1"/>
      <c r="E26" s="1"/>
    </row>
    <row r="27" spans="1:5" x14ac:dyDescent="0.25">
      <c r="A27" s="1"/>
      <c r="B27" s="98" t="s">
        <v>184</v>
      </c>
      <c r="C27" s="99"/>
      <c r="D27" s="100"/>
      <c r="E27" s="1"/>
    </row>
    <row r="28" spans="1:5" x14ac:dyDescent="0.25">
      <c r="A28" s="1"/>
      <c r="B28" s="57" t="s">
        <v>65</v>
      </c>
      <c r="C28" s="9">
        <f>IF(C17&lt;0,IF(C24&lt;0,SUM(C17,C24),IF(C9&gt;0,SUM(C9:C10),C17)),IF(AND(C24&lt;0,SUM(C24,C10)&lt;0),IF(C10&lt;0,C24,IF(SUM(C9:C10)&gt;0,SUM(C24,C10),IF(AND(C24&lt;0,C17=0,C10&gt;0),IF(SUM(C9:C10)&gt;0,C24+C10,C24)))),IF(AND(SUM(C9:C10)&lt;0,C17=0,C24&lt;0),C24,0)))</f>
        <v>0</v>
      </c>
      <c r="D28" s="14" t="s">
        <v>3</v>
      </c>
      <c r="E28" s="1"/>
    </row>
    <row r="29" spans="1:5" x14ac:dyDescent="0.25">
      <c r="A29" s="1"/>
      <c r="B29" s="57" t="s">
        <v>48</v>
      </c>
      <c r="C29" s="9">
        <v>2</v>
      </c>
      <c r="D29" s="14" t="s">
        <v>18</v>
      </c>
      <c r="E29" s="1"/>
    </row>
    <row r="30" spans="1:5" x14ac:dyDescent="0.25">
      <c r="A30" s="1"/>
      <c r="B30" s="58" t="s">
        <v>64</v>
      </c>
      <c r="C30" s="10">
        <f>C28/C29</f>
        <v>0</v>
      </c>
      <c r="D30" s="17" t="s">
        <v>3</v>
      </c>
      <c r="E30" s="1"/>
    </row>
    <row r="31" spans="1:5" x14ac:dyDescent="0.25">
      <c r="A31" s="1"/>
      <c r="B31" s="110"/>
      <c r="C31" s="111"/>
      <c r="D31" s="112"/>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ii7vr6azcZnJsU+TuaPBNpSjj0AwoAI5OovB7DWShsRpc394yCt0PYCvAtbixXd1XzRcTYA9hOj/y46LoUQUg==" saltValue="lo3NjdvRmDtir6OPq/s6Fg=="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6" t="s">
        <v>96</v>
      </c>
      <c r="C3" s="96"/>
      <c r="D3" s="96"/>
      <c r="E3" s="1"/>
    </row>
    <row r="4" spans="1:5" ht="15" customHeight="1" x14ac:dyDescent="0.25">
      <c r="A4" s="1"/>
      <c r="B4" s="96"/>
      <c r="C4" s="96"/>
      <c r="D4" s="96"/>
      <c r="E4" s="1"/>
    </row>
    <row r="5" spans="1:5" x14ac:dyDescent="0.25">
      <c r="A5" s="1"/>
      <c r="B5" s="96"/>
      <c r="C5" s="96"/>
      <c r="D5" s="96"/>
      <c r="E5" s="1"/>
    </row>
    <row r="6" spans="1:5" x14ac:dyDescent="0.25">
      <c r="A6" s="1"/>
      <c r="B6" s="1"/>
      <c r="C6" s="1"/>
      <c r="D6" s="1"/>
      <c r="E6" s="1"/>
    </row>
    <row r="7" spans="1:5" x14ac:dyDescent="0.25">
      <c r="A7" s="1"/>
      <c r="B7" s="1"/>
      <c r="C7" s="1"/>
      <c r="D7" s="1"/>
      <c r="E7" s="1"/>
    </row>
    <row r="8" spans="1:5" x14ac:dyDescent="0.25">
      <c r="A8" s="1"/>
      <c r="B8" s="98" t="s">
        <v>97</v>
      </c>
      <c r="C8" s="99"/>
      <c r="D8" s="100"/>
      <c r="E8" s="1"/>
    </row>
    <row r="9" spans="1:5" ht="15" customHeight="1" x14ac:dyDescent="0.25">
      <c r="A9" s="1"/>
      <c r="B9" s="113" t="s">
        <v>123</v>
      </c>
      <c r="C9" s="114"/>
      <c r="D9" s="115"/>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8"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Zh45TRmgltxqYBftb6c6Ytmns3g+by4q2i7joGCb1JItxca9Z2hkfZuHtiZnCVPIb4uh9oGxwhP1XNZx9UbpCQ==" saltValue="0BTgzyKzHNJdHeJy8bGUMw=="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90</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74</v>
      </c>
      <c r="C8" s="99"/>
      <c r="D8" s="99"/>
      <c r="E8" s="99"/>
      <c r="F8" s="99"/>
      <c r="G8" s="99"/>
      <c r="H8" s="99"/>
      <c r="I8" s="99"/>
      <c r="J8" s="99"/>
      <c r="K8" s="100"/>
      <c r="L8" s="1"/>
    </row>
    <row r="9" spans="1:12" ht="39.75" customHeight="1" x14ac:dyDescent="0.25">
      <c r="A9" s="1"/>
      <c r="B9" s="18" t="s">
        <v>0</v>
      </c>
      <c r="C9" s="18" t="s">
        <v>1</v>
      </c>
      <c r="D9" s="116" t="s">
        <v>83</v>
      </c>
      <c r="E9" s="117"/>
      <c r="F9" s="116" t="s">
        <v>2</v>
      </c>
      <c r="G9" s="117"/>
      <c r="H9" s="116" t="s">
        <v>84</v>
      </c>
      <c r="I9" s="117"/>
      <c r="J9" s="116" t="s">
        <v>25</v>
      </c>
      <c r="K9" s="117"/>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0"/>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RlyRqN5jeKItb/Oiis7JjN4hzNj3YM9yV43vZ1EoMW46emt3gmkq0rltzAoEgE/oh0XJ8YzE+K3RK0mx/A5CIA==" saltValue="Nd0Po6Kx+FrV4o7fDzlXL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91</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1" t="s">
        <v>15</v>
      </c>
      <c r="C9" s="73" t="s">
        <v>10</v>
      </c>
      <c r="D9" s="72"/>
      <c r="E9" s="73"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c r="C11" s="21"/>
      <c r="D11" s="14" t="s">
        <v>3</v>
      </c>
      <c r="E11" s="9"/>
      <c r="F11" s="14" t="s">
        <v>3</v>
      </c>
      <c r="G11" s="1"/>
    </row>
    <row r="12" spans="1:7" x14ac:dyDescent="0.25">
      <c r="A12" s="1"/>
      <c r="B12" s="26"/>
      <c r="C12" s="21"/>
      <c r="D12" s="14" t="s">
        <v>3</v>
      </c>
      <c r="E12" s="9"/>
      <c r="F12" s="14" t="s">
        <v>3</v>
      </c>
      <c r="G12" s="1"/>
    </row>
    <row r="13" spans="1:7" x14ac:dyDescent="0.25">
      <c r="A13" s="1"/>
      <c r="B13" s="26"/>
      <c r="C13" s="21"/>
      <c r="D13" s="14" t="s">
        <v>3</v>
      </c>
      <c r="E13" s="9"/>
      <c r="F13" s="14" t="s">
        <v>3</v>
      </c>
      <c r="G13" s="1"/>
    </row>
    <row r="14" spans="1:7" x14ac:dyDescent="0.25">
      <c r="A14" s="1"/>
      <c r="B14" s="26"/>
      <c r="C14" s="21"/>
      <c r="D14" s="14" t="s">
        <v>3</v>
      </c>
      <c r="E14" s="9"/>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112</v>
      </c>
      <c r="C17" s="12">
        <f>SUM(C10:C16)</f>
        <v>0</v>
      </c>
      <c r="D17" s="13" t="s">
        <v>3</v>
      </c>
      <c r="E17" s="12">
        <f>SUM(E10:E16)</f>
        <v>0</v>
      </c>
      <c r="F17" s="13" t="s">
        <v>3</v>
      </c>
      <c r="G17" s="1"/>
    </row>
    <row r="18" spans="1:7" x14ac:dyDescent="0.25">
      <c r="A18" s="1"/>
      <c r="B18" s="52" t="s">
        <v>147</v>
      </c>
      <c r="C18" s="12">
        <f>C17*(1+'Fane 13. Nøgletal'!C11)</f>
        <v>0</v>
      </c>
      <c r="D18" s="13" t="s">
        <v>3</v>
      </c>
      <c r="E18" s="12">
        <f>E17*(1+'Fane 13. Nøgletal'!C11)</f>
        <v>0</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cgjusmCp0CC/km0MCFGVeq4wf8cdpurBqpF8Fedf6ADxuKPBwd680ADtjqtjtKn3ZQ7wpKsUo5tsXdYwk44H8w==" saltValue="RAN5ZaqPllkKzW3vAUvQN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92</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150</v>
      </c>
      <c r="C8" s="99"/>
      <c r="D8" s="99"/>
      <c r="E8" s="99"/>
      <c r="F8" s="100"/>
      <c r="G8" s="1"/>
    </row>
    <row r="9" spans="1:7" x14ac:dyDescent="0.25">
      <c r="A9" s="1"/>
      <c r="B9" s="71" t="s">
        <v>15</v>
      </c>
      <c r="C9" s="73" t="s">
        <v>10</v>
      </c>
      <c r="D9" s="74"/>
      <c r="E9" s="73" t="s">
        <v>26</v>
      </c>
      <c r="F9" s="27"/>
      <c r="G9" s="1"/>
    </row>
    <row r="10" spans="1:7" x14ac:dyDescent="0.25">
      <c r="A10" s="1"/>
      <c r="B10" s="23" t="s">
        <v>201</v>
      </c>
      <c r="C10" s="21"/>
      <c r="D10" s="14" t="s">
        <v>3</v>
      </c>
      <c r="E10" s="9"/>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2" t="s">
        <v>148</v>
      </c>
      <c r="C13" s="12">
        <f>SUM(C10:C12)</f>
        <v>0</v>
      </c>
      <c r="D13" s="13" t="s">
        <v>3</v>
      </c>
      <c r="E13" s="12">
        <f>SUM(E10:E12)</f>
        <v>0</v>
      </c>
      <c r="F13" s="13" t="s">
        <v>3</v>
      </c>
      <c r="G13" s="1"/>
    </row>
    <row r="14" spans="1:7" x14ac:dyDescent="0.25">
      <c r="A14" s="1"/>
      <c r="B14" s="52" t="s">
        <v>149</v>
      </c>
      <c r="C14" s="12">
        <f>C13*(1+'Fane 13. Nøgletal'!$C$11)^2</f>
        <v>0</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Cw5K1Y5VP/otYwMsRBC2Rc/Ch/81ZMvAR8NX5KJeTIDc+Z0ePKej3rIPjG/Uz/yMXQDjSvPB3X/y7Pat7hMXg==" saltValue="4vQWrPGmW9U3wB47xKJipQ=="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93</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x14ac:dyDescent="0.25">
      <c r="A8" s="1"/>
      <c r="B8" s="98" t="s">
        <v>59</v>
      </c>
      <c r="C8" s="99"/>
      <c r="D8" s="99"/>
      <c r="E8" s="99"/>
      <c r="F8" s="100"/>
      <c r="G8" s="1"/>
    </row>
    <row r="9" spans="1:7" ht="15" customHeight="1" x14ac:dyDescent="0.25">
      <c r="A9" s="1"/>
      <c r="B9" s="54" t="s">
        <v>60</v>
      </c>
      <c r="C9" s="118" t="s">
        <v>10</v>
      </c>
      <c r="D9" s="119"/>
      <c r="E9" s="118" t="s">
        <v>26</v>
      </c>
      <c r="F9" s="119"/>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ArRFJy28UAottZ+HT6fcAO+lUQ8R6HDPsisEDWpd1JENh0/81DRGO8kZa22vyD3NDR6iAiEnsY9Tz0X9peiFoA==" saltValue="chhcprrfi1xPK1WTphA5LQ=="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94</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8" t="s">
        <v>152</v>
      </c>
      <c r="C8" s="99"/>
      <c r="D8" s="99"/>
      <c r="E8" s="99"/>
      <c r="F8" s="100"/>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5GgG/GGtHgBudnSFHsePen3G6ox2vHhuzzBtwkom8gbHSAPhYn+MfMrx9mTqpYqhFYFZ0w89crKH06zR2cHLYQ==" saltValue="k1SOT12K47rH4JdOOKLLGA=="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6" t="s">
        <v>95</v>
      </c>
      <c r="C3" s="96"/>
      <c r="D3" s="1"/>
    </row>
    <row r="4" spans="1:4" ht="15" customHeight="1" x14ac:dyDescent="0.25">
      <c r="A4" s="1"/>
      <c r="B4" s="96"/>
      <c r="C4" s="96"/>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194</v>
      </c>
      <c r="C11" s="49">
        <v>6.6299999999999998E-2</v>
      </c>
      <c r="D11" s="1"/>
    </row>
    <row r="12" spans="1:4" x14ac:dyDescent="0.25">
      <c r="A12" s="1"/>
      <c r="B12" s="98"/>
      <c r="C12" s="100"/>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195</v>
      </c>
      <c r="C18" s="63">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0jqDtYdh0zZ1wPCl8Y/s6cOYoD4GEFHuLMuu72UbKhHIZ8cWs+r1XojRnd5T/XxsQp8WsK38gdt7QD0pQhIUXw==" saltValue="3Kts0AdKygNXRfUs07i9oA=="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10881904.066633506</v>
      </c>
      <c r="D9" s="8" t="s">
        <v>3</v>
      </c>
      <c r="E9" s="1"/>
    </row>
    <row r="10" spans="1:5" ht="17.100000000000001" customHeight="1" x14ac:dyDescent="0.25">
      <c r="A10" s="1"/>
      <c r="B10" s="24" t="s">
        <v>32</v>
      </c>
      <c r="C10" s="7">
        <f>'Fane 10.1. Varige tillæg'!C18</f>
        <v>0</v>
      </c>
      <c r="D10" s="8" t="s">
        <v>3</v>
      </c>
      <c r="E10" s="1"/>
    </row>
    <row r="11" spans="1:5" ht="17.100000000000001" customHeight="1" x14ac:dyDescent="0.25">
      <c r="A11" s="1"/>
      <c r="B11" s="24" t="s">
        <v>33</v>
      </c>
      <c r="C11" s="9">
        <f>'Fane 10.1. Varige tillæg'!E18</f>
        <v>0</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721470.23961780139</v>
      </c>
      <c r="D16" s="8" t="s">
        <v>3</v>
      </c>
      <c r="E16" s="1"/>
    </row>
    <row r="17" spans="1:5" ht="17.100000000000001" customHeight="1" x14ac:dyDescent="0.25">
      <c r="A17" s="1"/>
      <c r="B17" s="24" t="s">
        <v>9</v>
      </c>
      <c r="C17" s="9">
        <f>-SUM(C9:C16)*'Fane 5. Individuelt eff. krav'!C9</f>
        <v>0</v>
      </c>
      <c r="D17" s="8" t="s">
        <v>3</v>
      </c>
      <c r="E17" s="1"/>
    </row>
    <row r="18" spans="1:5" ht="17.100000000000001" customHeight="1" x14ac:dyDescent="0.25">
      <c r="A18" s="1"/>
      <c r="B18" s="24" t="s">
        <v>21</v>
      </c>
      <c r="C18" s="9">
        <f>-'Fane 4.1. Gen. krav - drift'!C17</f>
        <v>-136102.90350551682</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3" t="s">
        <v>19</v>
      </c>
      <c r="C20" s="10">
        <f>SUM(C9:C19)</f>
        <v>11467271.402745791</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6586298.8103724904</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0</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0</v>
      </c>
      <c r="D26" s="8" t="s">
        <v>3</v>
      </c>
      <c r="E26" s="1"/>
    </row>
    <row r="27" spans="1:5" ht="15" customHeight="1" x14ac:dyDescent="0.25">
      <c r="A27" s="1"/>
      <c r="B27" s="24" t="s">
        <v>80</v>
      </c>
      <c r="C27" s="9">
        <f>-C25*('Fane 13. Nøgletal'!C18+'Fane 5. Individuelt eff. krav'!C9)</f>
        <v>0</v>
      </c>
      <c r="D27" s="8" t="s">
        <v>3</v>
      </c>
      <c r="E27" s="1"/>
    </row>
    <row r="28" spans="1:5" x14ac:dyDescent="0.25">
      <c r="A28" s="1"/>
      <c r="B28" s="73" t="s">
        <v>40</v>
      </c>
      <c r="C28" s="50">
        <f>SUM(C24:C27)</f>
        <v>0</v>
      </c>
      <c r="D28" s="11" t="s">
        <v>3</v>
      </c>
      <c r="E28" s="1"/>
    </row>
    <row r="29" spans="1:5" ht="15" customHeight="1" x14ac:dyDescent="0.25">
      <c r="A29" s="1"/>
      <c r="B29" s="25" t="s">
        <v>65</v>
      </c>
      <c r="C29" s="53"/>
      <c r="D29" s="19"/>
      <c r="E29" s="1"/>
    </row>
    <row r="30" spans="1:5" x14ac:dyDescent="0.25">
      <c r="A30" s="1"/>
      <c r="B30" s="58" t="s">
        <v>66</v>
      </c>
      <c r="C30" s="10">
        <f>'Fane 7. Kontrol af ØR2023'!C30</f>
        <v>0</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18053570.213118281</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gS7PWtHrw7hctXPb0gJDkNMHZQHfs+Mc2zHyW4o3Qa/N3koIW9GtFQq833YHzhsrZWeZXr/+7DCRzd9/jDHlHQ==" saltValue="Vyjl0njHc+6KZrE3OOgFW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129</v>
      </c>
      <c r="C3" s="94"/>
      <c r="D3" s="94"/>
      <c r="E3" s="1"/>
    </row>
    <row r="4" spans="1:5" ht="15" customHeight="1" x14ac:dyDescent="0.25">
      <c r="A4" s="1"/>
      <c r="B4" s="94"/>
      <c r="C4" s="94"/>
      <c r="D4" s="94"/>
      <c r="E4" s="1"/>
    </row>
    <row r="5" spans="1:5" x14ac:dyDescent="0.25">
      <c r="A5" s="1"/>
      <c r="B5" s="95"/>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11467271.402745791</v>
      </c>
      <c r="D9" s="8" t="s">
        <v>3</v>
      </c>
      <c r="E9" s="1"/>
    </row>
    <row r="10" spans="1:5" ht="15" customHeight="1" x14ac:dyDescent="0.25">
      <c r="A10" s="1"/>
      <c r="B10" s="47" t="s">
        <v>17</v>
      </c>
      <c r="C10" s="41">
        <f>C9*'Fane 13. Nøgletal'!C11</f>
        <v>760280.09400204592</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drift'!C22</f>
        <v>-142223.99548777394</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12085327.501260063</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7022970.4215001864</v>
      </c>
      <c r="D16" s="11" t="s">
        <v>3</v>
      </c>
      <c r="E16" s="1"/>
    </row>
    <row r="17" spans="1:5" x14ac:dyDescent="0.25">
      <c r="A17" s="1"/>
      <c r="B17" s="25" t="s">
        <v>65</v>
      </c>
      <c r="C17" s="53"/>
      <c r="D17" s="19"/>
      <c r="E17" s="1"/>
    </row>
    <row r="18" spans="1:5" ht="15" customHeight="1" x14ac:dyDescent="0.25">
      <c r="A18" s="1"/>
      <c r="B18" s="45" t="s">
        <v>66</v>
      </c>
      <c r="C18" s="10">
        <f>'Fane 7. Kontrol af ØR2023'!C30</f>
        <v>0</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19108297.922760248</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XvR7Oe75Lu72xcVqvXpOreOgZYATTSAnMiyocxcD/lLzZQ/hcUxf/vqxiXLyzF2KjJTt65vR/WlPE8j8SEwkxA==" saltValue="4Sz630PErnyVSKhQca5HY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12085327.501260063</v>
      </c>
      <c r="D9" s="8" t="s">
        <v>3</v>
      </c>
      <c r="E9" s="1"/>
    </row>
    <row r="10" spans="1:5" ht="15" customHeight="1" x14ac:dyDescent="0.25">
      <c r="A10" s="1"/>
      <c r="B10" s="47" t="s">
        <v>17</v>
      </c>
      <c r="C10" s="41">
        <f>C9*'Fane 13. Nøgletal'!C11</f>
        <v>801257.21333354211</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drift'!C27</f>
        <v>-148620.37746084106</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12737964.337132763</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7488593.3604456494</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20226557.697578412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69chWafDZ7RqOw4j2qBtvb0BaL0UlnG9WT9dQ1KkF8XtUOI5NCxncZrUprKV4+Uk3Q+2jBQWmV7U8z6Pv4Kew==" saltValue="tx/3Ty2opTi14biaZt8EB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131</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12737964.337132763</v>
      </c>
      <c r="D9" s="8" t="s">
        <v>3</v>
      </c>
      <c r="E9" s="1"/>
    </row>
    <row r="10" spans="1:5" ht="15" customHeight="1" x14ac:dyDescent="0.25">
      <c r="A10" s="1"/>
      <c r="B10" s="47" t="s">
        <v>17</v>
      </c>
      <c r="C10" s="9">
        <f>C9*'Fane 13. Nøgletal'!C11</f>
        <v>844527.03555190214</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drift'!C32</f>
        <v>-155304.43031676495</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13427186.9423679</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7985087.1002431959</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21412274.042611096</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Lo+QC8rcWA0MSpafU3GQqIu0nUGwpTKVKTTkugsxShd4sFudZRgUah7Vrv8AJg9Xx0MoC3CMuGaB5jJ/pT4dA==" saltValue="hMJntwLkQAgjDOeMSR7V7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6" t="s">
        <v>134</v>
      </c>
      <c r="C3" s="96"/>
      <c r="D3" s="96"/>
      <c r="E3" s="1"/>
    </row>
    <row r="4" spans="1:5" ht="15" customHeight="1" x14ac:dyDescent="0.25">
      <c r="A4" s="1"/>
      <c r="B4" s="96"/>
      <c r="C4" s="96"/>
      <c r="D4" s="96"/>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10724107.882030012</v>
      </c>
      <c r="D9" s="8" t="s">
        <v>3</v>
      </c>
      <c r="E9" s="1"/>
    </row>
    <row r="10" spans="1:5" x14ac:dyDescent="0.25">
      <c r="A10" s="1"/>
      <c r="B10" s="24" t="s">
        <v>32</v>
      </c>
      <c r="C10" s="7">
        <v>0</v>
      </c>
      <c r="D10" s="8" t="s">
        <v>3</v>
      </c>
      <c r="E10" s="1"/>
    </row>
    <row r="11" spans="1:5" ht="15" customHeight="1" x14ac:dyDescent="0.25">
      <c r="A11" s="1"/>
      <c r="B11" s="24" t="s">
        <v>33</v>
      </c>
      <c r="C11" s="9">
        <v>0</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381778.24060026841</v>
      </c>
      <c r="D16" s="8" t="s">
        <v>3</v>
      </c>
      <c r="E16" s="1"/>
    </row>
    <row r="17" spans="1:5" x14ac:dyDescent="0.25">
      <c r="A17" s="1"/>
      <c r="B17" s="24" t="s">
        <v>9</v>
      </c>
      <c r="C17" s="9">
        <v>-93736.802521074729</v>
      </c>
      <c r="D17" s="8" t="s">
        <v>3</v>
      </c>
      <c r="E17" s="1"/>
    </row>
    <row r="18" spans="1:5" x14ac:dyDescent="0.25">
      <c r="A18" s="1"/>
      <c r="B18" s="24" t="s">
        <v>21</v>
      </c>
      <c r="C18" s="9">
        <v>-130245.25347570065</v>
      </c>
      <c r="D18" s="8" t="s">
        <v>3</v>
      </c>
      <c r="E18" s="1"/>
    </row>
    <row r="19" spans="1:5" x14ac:dyDescent="0.25">
      <c r="A19" s="1"/>
      <c r="B19" s="24" t="s">
        <v>22</v>
      </c>
      <c r="C19" s="9">
        <v>0</v>
      </c>
      <c r="D19" s="8" t="s">
        <v>3</v>
      </c>
      <c r="E19" s="1"/>
    </row>
    <row r="20" spans="1:5" x14ac:dyDescent="0.25">
      <c r="A20" s="1"/>
      <c r="B20" s="73" t="s">
        <v>19</v>
      </c>
      <c r="C20" s="10">
        <v>10881904.066633506</v>
      </c>
      <c r="D20" s="11" t="s">
        <v>3</v>
      </c>
      <c r="E20" s="1"/>
    </row>
    <row r="21" spans="1:5" x14ac:dyDescent="0.25">
      <c r="A21" s="1"/>
      <c r="B21" s="52" t="s">
        <v>11</v>
      </c>
      <c r="C21" s="53"/>
      <c r="D21" s="19"/>
      <c r="E21" s="1"/>
    </row>
    <row r="22" spans="1:5" x14ac:dyDescent="0.25">
      <c r="A22" s="1"/>
      <c r="B22" s="54" t="s">
        <v>11</v>
      </c>
      <c r="C22" s="10">
        <v>6560299.2200166397</v>
      </c>
      <c r="D22" s="11" t="s">
        <v>3</v>
      </c>
      <c r="E22" s="1"/>
    </row>
    <row r="23" spans="1:5" x14ac:dyDescent="0.25">
      <c r="A23" s="1"/>
      <c r="B23" s="52" t="s">
        <v>39</v>
      </c>
      <c r="C23" s="53"/>
      <c r="D23" s="19"/>
      <c r="E23" s="1"/>
    </row>
    <row r="24" spans="1:5" ht="15" customHeight="1" x14ac:dyDescent="0.25">
      <c r="A24" s="1"/>
      <c r="B24" s="24" t="s">
        <v>35</v>
      </c>
      <c r="C24" s="9">
        <v>0</v>
      </c>
      <c r="D24" s="8" t="s">
        <v>3</v>
      </c>
      <c r="E24" s="1"/>
    </row>
    <row r="25" spans="1:5" ht="14.25" customHeight="1" x14ac:dyDescent="0.25">
      <c r="A25" s="1"/>
      <c r="B25" s="24" t="s">
        <v>36</v>
      </c>
      <c r="C25" s="9">
        <v>0</v>
      </c>
      <c r="D25" s="8" t="s">
        <v>3</v>
      </c>
      <c r="E25" s="1"/>
    </row>
    <row r="26" spans="1:5" ht="14.25" customHeight="1" x14ac:dyDescent="0.25">
      <c r="A26" s="1"/>
      <c r="B26" s="24" t="s">
        <v>79</v>
      </c>
      <c r="C26" s="9">
        <v>0</v>
      </c>
      <c r="D26" s="8" t="s">
        <v>3</v>
      </c>
      <c r="E26" s="1"/>
    </row>
    <row r="27" spans="1:5" ht="14.25" customHeight="1" x14ac:dyDescent="0.25">
      <c r="A27" s="1"/>
      <c r="B27" s="24" t="s">
        <v>80</v>
      </c>
      <c r="C27" s="9">
        <v>0</v>
      </c>
      <c r="D27" s="8" t="s">
        <v>3</v>
      </c>
      <c r="E27" s="1"/>
    </row>
    <row r="28" spans="1:5" ht="14.25" customHeight="1" x14ac:dyDescent="0.25">
      <c r="A28" s="1"/>
      <c r="B28" s="73" t="s">
        <v>40</v>
      </c>
      <c r="C28" s="50">
        <v>0</v>
      </c>
      <c r="D28" s="11" t="s">
        <v>3</v>
      </c>
      <c r="E28" s="1"/>
    </row>
    <row r="29" spans="1:5" x14ac:dyDescent="0.25">
      <c r="A29" s="1"/>
      <c r="B29" s="25" t="s">
        <v>65</v>
      </c>
      <c r="C29" s="53"/>
      <c r="D29" s="19"/>
      <c r="E29" s="1"/>
    </row>
    <row r="30" spans="1:5" x14ac:dyDescent="0.25">
      <c r="A30" s="1"/>
      <c r="B30" s="58" t="s">
        <v>66</v>
      </c>
      <c r="C30" s="10">
        <v>0</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52" t="s">
        <v>67</v>
      </c>
      <c r="C33" s="29">
        <v>17442203.286650144</v>
      </c>
      <c r="D33" s="19" t="s">
        <v>3</v>
      </c>
      <c r="E33" s="1"/>
    </row>
    <row r="34" spans="1:5" ht="30" customHeight="1" x14ac:dyDescent="0.25">
      <c r="A34" s="1"/>
      <c r="B34" s="97" t="s">
        <v>193</v>
      </c>
      <c r="C34" s="97"/>
      <c r="D34" s="97"/>
      <c r="E34" s="1"/>
    </row>
    <row r="35" spans="1:5" ht="27.75" customHeight="1"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ziFf6uPjCwfasZA1o5Iocy4vj/9i09aKTVzDmrIeQzEpCtXivoX6o4hlIWM6r70VB0GS4DMSbMu4bdibWsdpXg==" saltValue="xEqAFS7PA395jBoGtKAQhg=="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6" t="s">
        <v>53</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7"/>
      <c r="C6" s="67"/>
      <c r="D6" s="67"/>
      <c r="E6" s="1"/>
    </row>
    <row r="7" spans="1:5" x14ac:dyDescent="0.25">
      <c r="A7" s="1"/>
      <c r="B7" s="1"/>
      <c r="C7" s="32"/>
      <c r="D7" s="1"/>
      <c r="E7" s="1"/>
    </row>
    <row r="8" spans="1:5" x14ac:dyDescent="0.25">
      <c r="A8" s="1"/>
      <c r="B8" s="98" t="s">
        <v>75</v>
      </c>
      <c r="C8" s="99"/>
      <c r="D8" s="100"/>
      <c r="E8" s="1"/>
    </row>
    <row r="9" spans="1:5" x14ac:dyDescent="0.25">
      <c r="A9" s="1"/>
      <c r="B9" s="56" t="s">
        <v>167</v>
      </c>
      <c r="C9" s="22">
        <v>6512262.6737850327</v>
      </c>
      <c r="D9" s="14" t="s">
        <v>3</v>
      </c>
      <c r="E9" s="1"/>
    </row>
    <row r="10" spans="1:5" x14ac:dyDescent="0.25">
      <c r="A10" s="1"/>
      <c r="B10" s="56" t="s">
        <v>110</v>
      </c>
      <c r="C10" s="61">
        <f>('Fane 3. Omkostninger i ØR2024'!C10+'Fane 3. Omkostninger i ØR2024'!C12+'Fane 3. Omkostninger i ØR2024'!C14)*(1+'Fane 13. Nøgletal'!C10)</f>
        <v>0</v>
      </c>
      <c r="D10" s="14" t="s">
        <v>3</v>
      </c>
      <c r="E10" s="1"/>
    </row>
    <row r="11" spans="1:5" x14ac:dyDescent="0.25">
      <c r="A11" s="1"/>
      <c r="B11" s="56" t="s">
        <v>81</v>
      </c>
      <c r="C11" s="22">
        <f>C9*'Fane 13. Nøgletal'!C23+C10*'Fane 13. Nøgletal'!C23</f>
        <v>130245.25347570065</v>
      </c>
      <c r="D11" s="14" t="s">
        <v>3</v>
      </c>
      <c r="E11" s="1"/>
    </row>
    <row r="12" spans="1:5" x14ac:dyDescent="0.25">
      <c r="A12" s="1"/>
      <c r="B12" s="52"/>
      <c r="C12" s="31"/>
      <c r="D12" s="19"/>
      <c r="E12" s="1"/>
    </row>
    <row r="13" spans="1:5" x14ac:dyDescent="0.25">
      <c r="A13" s="1"/>
      <c r="B13" s="1"/>
      <c r="C13" s="32"/>
      <c r="D13" s="1"/>
      <c r="E13" s="1"/>
    </row>
    <row r="14" spans="1:5" x14ac:dyDescent="0.25">
      <c r="A14" s="1"/>
      <c r="B14" s="98" t="s">
        <v>153</v>
      </c>
      <c r="C14" s="99"/>
      <c r="D14" s="100"/>
      <c r="E14" s="1"/>
    </row>
    <row r="15" spans="1:5" x14ac:dyDescent="0.25">
      <c r="A15" s="1"/>
      <c r="B15" s="56" t="s">
        <v>168</v>
      </c>
      <c r="C15" s="22">
        <f>(C9+C10-C11)*(1+'Fane 13. Nøgletal'!C11)</f>
        <v>6805145.1752758408</v>
      </c>
      <c r="D15" s="14" t="s">
        <v>3</v>
      </c>
      <c r="E15" s="1"/>
    </row>
    <row r="16" spans="1:5" x14ac:dyDescent="0.25">
      <c r="A16" s="1"/>
      <c r="B16" s="56" t="s">
        <v>154</v>
      </c>
      <c r="C16" s="61">
        <f>('Fane 2.1. Økonomisk ramme 2025'!C10+'Fane 2.1. Økonomisk ramme 2025'!C12+'Fane 2.1. Økonomisk ramme 2025'!C14)*(1+'Fane 13. Nøgletal'!C11)</f>
        <v>0</v>
      </c>
      <c r="D16" s="14" t="s">
        <v>3</v>
      </c>
      <c r="E16" s="1"/>
    </row>
    <row r="17" spans="1:5" x14ac:dyDescent="0.25">
      <c r="A17" s="1"/>
      <c r="B17" s="56" t="s">
        <v>155</v>
      </c>
      <c r="C17" s="22">
        <f>(C15+C16)*'Fane 13. Nøgletal'!C23</f>
        <v>136102.90350551682</v>
      </c>
      <c r="D17" s="14" t="s">
        <v>3</v>
      </c>
      <c r="E17" s="1"/>
    </row>
    <row r="18" spans="1:5" x14ac:dyDescent="0.25">
      <c r="A18" s="1"/>
      <c r="B18" s="52"/>
      <c r="C18" s="31"/>
      <c r="D18" s="19"/>
      <c r="E18" s="1"/>
    </row>
    <row r="19" spans="1:5" x14ac:dyDescent="0.25">
      <c r="A19" s="1"/>
      <c r="B19" s="1"/>
      <c r="C19" s="32"/>
      <c r="D19" s="1"/>
      <c r="E19" s="1"/>
    </row>
    <row r="20" spans="1:5" x14ac:dyDescent="0.25">
      <c r="A20" s="1"/>
      <c r="B20" s="98" t="s">
        <v>170</v>
      </c>
      <c r="C20" s="99"/>
      <c r="D20" s="100"/>
      <c r="E20" s="1"/>
    </row>
    <row r="21" spans="1:5" x14ac:dyDescent="0.25">
      <c r="A21" s="1"/>
      <c r="B21" s="56" t="s">
        <v>169</v>
      </c>
      <c r="C21" s="48">
        <f>(C15+C16-C17)*(1+'Fane 13. Nøgletal'!C11)</f>
        <v>7111199.7743886961</v>
      </c>
      <c r="D21" s="14" t="s">
        <v>3</v>
      </c>
      <c r="E21" s="1"/>
    </row>
    <row r="22" spans="1:5" x14ac:dyDescent="0.25">
      <c r="A22" s="1"/>
      <c r="B22" s="56" t="s">
        <v>171</v>
      </c>
      <c r="C22" s="48">
        <f>(C21)*'Fane 13. Nøgletal'!C23</f>
        <v>142223.99548777394</v>
      </c>
      <c r="D22" s="14" t="s">
        <v>3</v>
      </c>
      <c r="E22" s="1"/>
    </row>
    <row r="23" spans="1:5" x14ac:dyDescent="0.25">
      <c r="A23" s="1"/>
      <c r="B23" s="52"/>
      <c r="C23" s="31"/>
      <c r="D23" s="19"/>
      <c r="E23" s="1"/>
    </row>
    <row r="24" spans="1:5" x14ac:dyDescent="0.25">
      <c r="A24" s="1"/>
      <c r="B24" s="1"/>
      <c r="C24" s="32"/>
      <c r="D24" s="1"/>
      <c r="E24" s="1"/>
    </row>
    <row r="25" spans="1:5" x14ac:dyDescent="0.25">
      <c r="A25" s="1"/>
      <c r="B25" s="98" t="s">
        <v>116</v>
      </c>
      <c r="C25" s="99"/>
      <c r="D25" s="100"/>
      <c r="E25" s="1"/>
    </row>
    <row r="26" spans="1:5" x14ac:dyDescent="0.25">
      <c r="A26" s="1"/>
      <c r="B26" s="56" t="s">
        <v>117</v>
      </c>
      <c r="C26" s="48">
        <f>(C21-C22)*(1+'Fane 13. Nøgletal'!C11)</f>
        <v>7431018.8730420535</v>
      </c>
      <c r="D26" s="14" t="s">
        <v>3</v>
      </c>
      <c r="E26" s="1"/>
    </row>
    <row r="27" spans="1:5" x14ac:dyDescent="0.25">
      <c r="A27" s="1"/>
      <c r="B27" s="56" t="s">
        <v>118</v>
      </c>
      <c r="C27" s="48">
        <f>(C26)*'Fane 13. Nøgletal'!C23</f>
        <v>148620.37746084106</v>
      </c>
      <c r="D27" s="14" t="s">
        <v>3</v>
      </c>
      <c r="E27" s="1"/>
    </row>
    <row r="28" spans="1:5" x14ac:dyDescent="0.25">
      <c r="A28" s="1"/>
      <c r="B28" s="52"/>
      <c r="C28" s="42"/>
      <c r="D28" s="19"/>
      <c r="E28" s="1"/>
    </row>
    <row r="29" spans="1:5" x14ac:dyDescent="0.25">
      <c r="A29" s="1"/>
      <c r="B29" s="1"/>
      <c r="C29" s="32"/>
      <c r="D29" s="1"/>
      <c r="E29" s="1"/>
    </row>
    <row r="30" spans="1:5" x14ac:dyDescent="0.25">
      <c r="A30" s="1"/>
      <c r="B30" s="98" t="s">
        <v>136</v>
      </c>
      <c r="C30" s="99"/>
      <c r="D30" s="100"/>
      <c r="E30" s="1"/>
    </row>
    <row r="31" spans="1:5" x14ac:dyDescent="0.25">
      <c r="A31" s="1"/>
      <c r="B31" s="56" t="s">
        <v>137</v>
      </c>
      <c r="C31" s="48">
        <f>(C26-C27)*(1+'Fane 13. Nøgletal'!C11)</f>
        <v>7765221.5158382468</v>
      </c>
      <c r="D31" s="14" t="s">
        <v>3</v>
      </c>
      <c r="E31" s="1"/>
    </row>
    <row r="32" spans="1:5" x14ac:dyDescent="0.25">
      <c r="A32" s="1"/>
      <c r="B32" s="56" t="s">
        <v>138</v>
      </c>
      <c r="C32" s="48">
        <f>(C31)*'Fane 13. Nøgletal'!C23</f>
        <v>155304.43031676495</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KbkZArNcMrUvmopIzeqK6ooYcneE+RH9ZcqoCltlADyWaYHstfREUmt/19kk6peaQ0Lun1/Xdfvl07BTzAnGiA==" saltValue="C/4t5jV6JBt36Yxf5cp0Sw=="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1" t="s">
        <v>54</v>
      </c>
      <c r="C3" s="102"/>
      <c r="D3" s="102"/>
      <c r="E3" s="1"/>
    </row>
    <row r="4" spans="1:5" ht="15" customHeight="1" x14ac:dyDescent="0.25">
      <c r="A4" s="1"/>
      <c r="B4" s="102"/>
      <c r="C4" s="102"/>
      <c r="D4" s="102"/>
      <c r="E4" s="1"/>
    </row>
    <row r="5" spans="1:5" ht="15" customHeight="1" x14ac:dyDescent="0.25">
      <c r="A5" s="1"/>
      <c r="B5" s="102"/>
      <c r="C5" s="102"/>
      <c r="D5" s="102"/>
      <c r="E5" s="1"/>
    </row>
    <row r="6" spans="1:5" ht="15" customHeight="1" x14ac:dyDescent="0.25">
      <c r="A6" s="1"/>
      <c r="B6" s="1"/>
      <c r="C6" s="1"/>
      <c r="D6" s="1"/>
      <c r="E6" s="1"/>
    </row>
    <row r="7" spans="1:5" ht="15" customHeight="1" x14ac:dyDescent="0.25">
      <c r="A7" s="1"/>
      <c r="B7" s="1"/>
      <c r="C7" s="1"/>
      <c r="D7" s="1"/>
      <c r="E7" s="1"/>
    </row>
    <row r="8" spans="1:5" x14ac:dyDescent="0.25">
      <c r="A8" s="1"/>
      <c r="B8" s="98" t="s">
        <v>76</v>
      </c>
      <c r="C8" s="99"/>
      <c r="D8" s="100"/>
      <c r="E8" s="1"/>
    </row>
    <row r="9" spans="1:5" x14ac:dyDescent="0.25">
      <c r="A9" s="1"/>
      <c r="B9" s="56" t="s">
        <v>162</v>
      </c>
      <c r="C9" s="48">
        <v>5380239.0765599841</v>
      </c>
      <c r="D9" s="14" t="s">
        <v>3</v>
      </c>
      <c r="E9" s="1"/>
    </row>
    <row r="10" spans="1:5" x14ac:dyDescent="0.25">
      <c r="A10" s="1"/>
      <c r="B10" s="56" t="s">
        <v>113</v>
      </c>
      <c r="C10" s="75">
        <f>('Fane 3. Omkostninger i ØR2024'!C11+'Fane 3. Omkostninger i ØR2024'!C13+'Fane 3. Omkostninger i ØR2024'!C15)*(1+'Fane 13. Nøgletal'!C10)</f>
        <v>0</v>
      </c>
      <c r="D10" s="14" t="s">
        <v>3</v>
      </c>
      <c r="E10" s="1"/>
    </row>
    <row r="11" spans="1:5" x14ac:dyDescent="0.25">
      <c r="A11" s="1"/>
      <c r="B11" s="56" t="s">
        <v>114</v>
      </c>
      <c r="C11" s="75">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8" t="s">
        <v>156</v>
      </c>
      <c r="C14" s="99"/>
      <c r="D14" s="100"/>
      <c r="E14" s="1"/>
    </row>
    <row r="15" spans="1:5" x14ac:dyDescent="0.25">
      <c r="A15" s="1"/>
      <c r="B15" s="56" t="s">
        <v>163</v>
      </c>
      <c r="C15" s="48">
        <f>(C9+C10-C11)*(1+'Fane 13. Nøgletal'!C11)</f>
        <v>5736948.9273359114</v>
      </c>
      <c r="D15" s="14" t="s">
        <v>3</v>
      </c>
      <c r="E15" s="1"/>
    </row>
    <row r="16" spans="1:5" x14ac:dyDescent="0.25">
      <c r="A16" s="1"/>
      <c r="B16" s="56" t="s">
        <v>157</v>
      </c>
      <c r="C16" s="75">
        <f>('Fane 2.1. Økonomisk ramme 2025'!C11+'Fane 2.1. Økonomisk ramme 2025'!C13+'Fane 2.1. Økonomisk ramme 2025'!C15)*(1+'Fane 13. Nøgletal'!C11)</f>
        <v>0</v>
      </c>
      <c r="D16" s="14" t="s">
        <v>3</v>
      </c>
      <c r="E16" s="1"/>
    </row>
    <row r="17" spans="1:5" x14ac:dyDescent="0.25">
      <c r="A17" s="1"/>
      <c r="B17" s="56" t="s">
        <v>158</v>
      </c>
      <c r="C17" s="75">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8" t="s">
        <v>166</v>
      </c>
      <c r="C20" s="99"/>
      <c r="D20" s="100"/>
      <c r="E20" s="1"/>
    </row>
    <row r="21" spans="1:5" x14ac:dyDescent="0.25">
      <c r="A21" s="1"/>
      <c r="B21" s="56" t="s">
        <v>164</v>
      </c>
      <c r="C21" s="48">
        <f>(C15+C16-C17)*(1+'Fane 13. Nøgletal'!C11)</f>
        <v>6117308.6412182823</v>
      </c>
      <c r="D21" s="14" t="s">
        <v>3</v>
      </c>
      <c r="E21" s="1"/>
    </row>
    <row r="22" spans="1:5" x14ac:dyDescent="0.25">
      <c r="A22" s="1"/>
      <c r="B22" s="56" t="s">
        <v>165</v>
      </c>
      <c r="C22" s="75">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8" t="s">
        <v>119</v>
      </c>
      <c r="C25" s="99"/>
      <c r="D25" s="100"/>
      <c r="E25" s="1"/>
    </row>
    <row r="26" spans="1:5" x14ac:dyDescent="0.25">
      <c r="A26" s="1"/>
      <c r="B26" s="56" t="s">
        <v>120</v>
      </c>
      <c r="C26" s="48">
        <f>(C21-C22)*(1+'Fane 13. Nøgletal'!C11)</f>
        <v>6522886.2041310547</v>
      </c>
      <c r="D26" s="14" t="s">
        <v>3</v>
      </c>
      <c r="E26" s="1"/>
    </row>
    <row r="27" spans="1:5" x14ac:dyDescent="0.25">
      <c r="A27" s="1"/>
      <c r="B27" s="56" t="s">
        <v>121</v>
      </c>
      <c r="C27" s="75">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8" t="s">
        <v>139</v>
      </c>
      <c r="C30" s="99"/>
      <c r="D30" s="100"/>
      <c r="E30" s="1"/>
    </row>
    <row r="31" spans="1:5" x14ac:dyDescent="0.25">
      <c r="A31" s="1"/>
      <c r="B31" s="56" t="s">
        <v>140</v>
      </c>
      <c r="C31" s="48">
        <f>(C26-C27)*(1+'Fane 13. Nøgletal'!C11)</f>
        <v>6955353.5594649436</v>
      </c>
      <c r="D31" s="14" t="s">
        <v>3</v>
      </c>
      <c r="E31" s="1"/>
    </row>
    <row r="32" spans="1:5" x14ac:dyDescent="0.25">
      <c r="A32" s="1"/>
      <c r="B32" s="56" t="s">
        <v>141</v>
      </c>
      <c r="C32" s="75">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pYdIfgcEtM/rGr15zd2UaZBexwzK8v8N+jzd4S8rTlX1Xi/t1iDsucUUlJTZxWsVoAHht/QjHhJ6HhNmcXgKtA==" saltValue="OGuzDmDlGCAKXxKf19VgNA=="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4" t="s">
        <v>41</v>
      </c>
      <c r="C3" s="94"/>
      <c r="D3" s="1"/>
    </row>
    <row r="4" spans="1:4" ht="15" customHeight="1" x14ac:dyDescent="0.25">
      <c r="A4" s="1"/>
      <c r="B4" s="94"/>
      <c r="C4" s="9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8" t="s">
        <v>9</v>
      </c>
      <c r="C8" s="100"/>
      <c r="D8" s="1"/>
    </row>
    <row r="9" spans="1:4" x14ac:dyDescent="0.25">
      <c r="A9" s="1"/>
      <c r="B9" s="56" t="s">
        <v>160</v>
      </c>
      <c r="C9" s="44">
        <v>0</v>
      </c>
      <c r="D9" s="1"/>
    </row>
    <row r="10" spans="1:4" x14ac:dyDescent="0.25">
      <c r="A10" s="1"/>
      <c r="B10" s="52"/>
      <c r="C10" s="19"/>
      <c r="D10" s="1"/>
    </row>
    <row r="11" spans="1:4" ht="15" customHeight="1" x14ac:dyDescent="0.25">
      <c r="A11" s="1"/>
      <c r="B11" s="103" t="s">
        <v>161</v>
      </c>
      <c r="C11" s="104"/>
      <c r="D11" s="1"/>
    </row>
    <row r="12" spans="1:4" ht="13.5" customHeight="1" x14ac:dyDescent="0.25">
      <c r="A12" s="1"/>
      <c r="B12" s="105"/>
      <c r="C12" s="10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uifhRtNYHk9VDjLhVDQlfN6NPXPBhZAj612yBzo6vDd3zykJYCTiEnCOuSBt+m6qWMdU27l4qHro+KRTGJLxVQ==" saltValue="/z6wAYiDnGHE5uJaep+loQ=="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2024-09-05T07:18:40Z</dcterms:modified>
</cp:coreProperties>
</file>