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axe Spildevandscenter AS (S01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3" i="19"/>
  <c r="E10" i="11" l="1"/>
  <c r="E28" i="20" l="1"/>
  <c r="E22" i="20"/>
  <c r="E16" i="20"/>
  <c r="E10" i="20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C13" i="2"/>
  <c r="G28" i="30" l="1"/>
  <c r="G32" i="30" l="1"/>
  <c r="E11" i="11"/>
  <c r="E10" i="37" s="1"/>
  <c r="E12" i="37" s="1"/>
  <c r="E13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<sst xmlns="http://schemas.openxmlformats.org/spreadsheetml/2006/main" count="705" uniqueCount="285">
  <si>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</si>
  <si>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</si>
  <si>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</si>
  <si>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</si>
  <si>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</si>
  <si>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</si>
  <si>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</si>
  <si>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</si>
  <si>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</si>
  <si>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</si>
  <si>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</si>
  <si>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</si>
  <si>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</si>
  <si>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</si>
  <si>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</si>
  <si>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</si>
  <si>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</si>
  <si>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</si>
  <si>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</si>
  <si>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</si>
  <si>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</si>
  <si>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</si>
  <si>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</si>
  <si>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</si>
  <si>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</si>
  <si>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</si>
  <si>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</si>
  <si>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</si>
  <si>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</si>
  <si>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</si>
  <si>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</si>
  <si>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</si>
  <si>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</si>
  <si>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</si>
  <si>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</si>
  <si>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</si>
  <si>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</si>
  <si>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</si>
  <si>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</si>
  <si>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</si>
  <si>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</si>
  <si>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</si>
  <si>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</si>
  <si>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</si>
  <si>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</si>
  <si>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</si>
  <si>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</si>
  <si>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</si>
  <si>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</si>
  <si>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</si>
  <si>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</si>
  <si>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</si>
  <si>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</si>
  <si>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</si>
  <si>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</si>
  <si>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</si>
  <si>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</si>
  <si>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</si>
  <si>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</si>
  <si>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</si>
  <si>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</si>
  <si>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</si>
  <si>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</si>
  <si>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</si>
  <si>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</si>
  <si>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</si>
  <si>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</si>
  <si>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</si>
  <si>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</si>
  <si>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</si>
  <si>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</si>
  <si>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</si>
  <si>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</si>
  <si>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</si>
  <si>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</si>
  <si>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</si>
  <si>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</si>
  <si>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</si>
  <si>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</si>
  <si>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</si>
  <si>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</si>
  <si>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</si>
  <si>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</si>
  <si>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</si>
  <si>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</si>
  <si>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</si>
  <si>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</si>
  <si>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</si>
  <si>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</si>
  <si>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</si>
  <si>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</si>
  <si>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</si>
  <si>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</si>
  <si>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</si>
  <si>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</si>
  <si>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</si>
  <si>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</si>
  <si>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</si>
  <si>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</si>
  <si>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</si>
  <si>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</si>
  <si>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</si>
  <si>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</si>
  <si>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</si>
  <si>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</si>
  <si>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</si>
  <si>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</si>
  <si>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</si>
  <si>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</si>
  <si>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</si>
  <si>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</si>
  <si>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</si>
  <si>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</si>
  <si>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</si>
  <si>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</si>
  <si>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</si>
  <si>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</si>
  <si>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</si>
  <si>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</si>
  <si>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</si>
  <si>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</si>
  <si>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</si>
  <si>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</si>
  <si>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</si>
  <si>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</si>
  <si>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</si>
  <si>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</si>
  <si>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</si>
  <si>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</si>
  <si>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</si>
  <si>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</si>
  <si>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</si>
  <si>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</si>
  <si>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</si>
  <si>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</si>
  <si>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</si>
  <si>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</si>
  <si>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</si>
  <si>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</si>
  <si>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</si>
  <si>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</si>
  <si>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</si>
  <si>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</si>
  <si>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</si>
  <si>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</si>
  <si>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</si>
  <si>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</si>
  <si>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</si>
  <si>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</si>
  <si>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</si>
  <si>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</si>
  <si>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</si>
  <si>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</si>
  <si>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</si>
  <si>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</si>
  <si>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</si>
  <si>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</si>
  <si>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</si>
  <si>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</si>
  <si>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</si>
  <si>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</si>
  <si>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</si>
  <si>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</si>
  <si>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</si>
  <si>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</si>
  <si>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</si>
  <si>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</si>
  <si>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</si>
  <si>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</si>
  <si>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</si>
  <si>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</si>
  <si>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</si>
  <si>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</si>
  <si>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</si>
  <si>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</si>
  <si>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</si>
  <si>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</si>
  <si>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</si>
  <si>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</si>
  <si>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</si>
  <si>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</si>
  <si>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</si>
  <si>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</si>
  <si>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</si>
  <si>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</si>
  <si>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</si>
  <si>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</si>
  <si>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</si>
  <si>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</si>
  <si>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</si>
  <si>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</si>
  <si>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</si>
  <si>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</si>
  <si>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</si>
  <si>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</si>
  <si>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</si>
  <si>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</si>
  <si>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</si>
  <si>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</si>
  <si>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</si>
  <si>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</si>
  <si>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</si>
  <si>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</si>
  <si>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</si>
  <si>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</si>
  <si>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</si>
  <si>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</si>
  <si>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</si>
  <si>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</si>
  <si>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</si>
  <si>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</si>
  <si>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</si>
  <si>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</si>
  <si>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</si>
  <si>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</si>
  <si>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</si>
  <si>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</si>
  <si>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</si>
  <si>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</si>
  <si>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</si>
  <si>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</si>
  <si>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</si>
  <si>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</si>
  <si>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</si>
  <si>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</si>
  <si>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</si>
  <si>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</si>
  <si>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</si>
  <si>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</si>
  <si>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</si>
  <si>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</si>
  <si>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</si>
  <si>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</si>
  <si>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</si>
  <si>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</si>
  <si>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</si>
  <si>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</si>
  <si>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</si>
  <si>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</si>
  <si>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</si>
  <si>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</si>
  <si>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</si>
  <si>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</si>
  <si>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</si>
  <si>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</si>
  <si>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</si>
  <si>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</si>
  <si>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</si>
  <si>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</si>
  <si>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</si>
  <si>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</si>
  <si>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</si>
  <si>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</si>
  <si>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</si>
  <si>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</si>
  <si>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</si>
  <si>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</si>
  <si>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</si>
  <si>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</si>
  <si>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</si>
  <si>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</si>
  <si>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</si>
  <si>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</si>
  <si>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</si>
  <si>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</si>
  <si>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</si>
  <si>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</si>
  <si>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</si>
  <si>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</si>
  <si>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</si>
  <si>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</si>
  <si>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</si>
  <si>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</si>
  <si>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</si>
  <si>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</si>
  <si>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</si>
  <si>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</si>
  <si>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</si>
  <si>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Karise renseanlæg og minirenseanlæg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</si>
  <si>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</si>
  <si>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</si>
  <si>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</si>
  <si>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Ingen engangstillæg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</si>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</sst>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80" t="s">
        <v>283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2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2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2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2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jSWrl4C3cvXv+76gFGUeS/BOaatw/P57uJExWGvjIX/Wfd3Hp0dEyZ8f8Y2y7RukQ704+q5Yr1VhhEO/WtwYg==" saltValue="GqQ/I90ccmKkDcjx4REovw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208</v>
      </c>
      <c r="C8" s="96"/>
      <c r="D8" s="97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x14ac:dyDescent="0.25">
      <c r="A10" s="1"/>
      <c r="B10" s="65" t="s">
        <v>262</v>
      </c>
      <c r="C10" s="9">
        <v>1092406</v>
      </c>
      <c r="D10" s="14" t="s">
        <v>3</v>
      </c>
      <c r="E10" s="1"/>
      <c r="F10" s="1"/>
    </row>
    <row r="11" spans="1:6" x14ac:dyDescent="0.25">
      <c r="A11" s="1"/>
      <c r="B11" s="65" t="s">
        <v>263</v>
      </c>
      <c r="C11" s="9">
        <v>80919</v>
      </c>
      <c r="D11" s="14" t="s">
        <v>3</v>
      </c>
      <c r="E11" s="1"/>
      <c r="F11" s="1"/>
    </row>
    <row r="12" spans="1:6" x14ac:dyDescent="0.25">
      <c r="A12" s="1"/>
      <c r="B12" s="65" t="s">
        <v>264</v>
      </c>
      <c r="C12" s="9">
        <v>113775</v>
      </c>
      <c r="D12" s="14" t="s">
        <v>3</v>
      </c>
      <c r="E12" s="1"/>
      <c r="F12" s="1"/>
    </row>
    <row r="13" spans="1:6" x14ac:dyDescent="0.25">
      <c r="A13" s="1"/>
      <c r="B13" s="38" t="s">
        <v>209</v>
      </c>
      <c r="C13" s="12">
        <f>SUM(C10:C12)</f>
        <v>1287100</v>
      </c>
      <c r="D13" s="13" t="s">
        <v>3</v>
      </c>
      <c r="E13" s="1"/>
      <c r="F13" s="1"/>
    </row>
    <row r="14" spans="1:6" x14ac:dyDescent="0.25">
      <c r="A14" s="1"/>
      <c r="B14" s="38" t="s">
        <v>210</v>
      </c>
      <c r="C14" s="12">
        <f>C13*(1+'Fane 14. Nøgletal'!C14)^2</f>
        <v>1295608.8765190002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5" t="s">
        <v>142</v>
      </c>
      <c r="C17" s="96"/>
      <c r="D17" s="97"/>
      <c r="E17" s="1"/>
      <c r="F17" s="1"/>
    </row>
    <row r="18" spans="1:6" x14ac:dyDescent="0.25">
      <c r="A18" s="1"/>
      <c r="B18" s="65" t="s">
        <v>116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65" t="s">
        <v>117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65" t="s">
        <v>154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5" t="s">
        <v>211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95"/>
      <c r="C22" s="96"/>
      <c r="D22" s="97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5" t="s">
        <v>115</v>
      </c>
      <c r="C25" s="96"/>
      <c r="D25" s="97"/>
      <c r="E25" s="1"/>
      <c r="F25" s="1"/>
    </row>
    <row r="26" spans="1:6" x14ac:dyDescent="0.25">
      <c r="A26" s="1"/>
      <c r="B26" s="65" t="s">
        <v>116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65" t="s">
        <v>117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5" t="s">
        <v>154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5" t="s">
        <v>211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5"/>
      <c r="C30" s="96"/>
      <c r="D30" s="97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sGix4fsJs3j/1FgPngq0FW6yj4ZwRxdkvUBGCz0PEfxDPFLUk0AYM+UYlqs8m+4m9/JDIHO26aEHpuq0MFn81A==" saltValue="cz9leAeOF0oPKxTBOR9Vi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ht="15" customHeight="1" x14ac:dyDescent="0.25">
      <c r="A5" s="1"/>
      <c r="B5" s="61"/>
      <c r="C5" s="61"/>
      <c r="D5" s="61"/>
      <c r="E5" s="61"/>
      <c r="F5" s="61"/>
      <c r="G5" s="1"/>
    </row>
    <row r="6" spans="1:7" ht="15" customHeight="1" x14ac:dyDescent="0.25">
      <c r="A6" s="1"/>
      <c r="B6" s="61"/>
      <c r="C6" s="61"/>
      <c r="D6" s="61"/>
      <c r="E6" s="61"/>
      <c r="F6" s="6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266</v>
      </c>
      <c r="C8" s="96"/>
      <c r="D8" s="96"/>
      <c r="E8" s="96"/>
      <c r="F8" s="97"/>
      <c r="G8" s="1"/>
    </row>
    <row r="9" spans="1:7" x14ac:dyDescent="0.25">
      <c r="A9" s="1"/>
      <c r="B9" s="104" t="s">
        <v>267</v>
      </c>
      <c r="C9" s="105"/>
      <c r="D9" s="106"/>
      <c r="E9" s="9">
        <v>4734575.4491356909</v>
      </c>
      <c r="F9" s="14" t="s">
        <v>3</v>
      </c>
      <c r="G9" s="1"/>
    </row>
    <row r="10" spans="1:7" x14ac:dyDescent="0.25">
      <c r="A10" s="1"/>
      <c r="B10" s="104" t="s">
        <v>268</v>
      </c>
      <c r="C10" s="105"/>
      <c r="D10" s="106"/>
      <c r="E10" s="9">
        <v>2164566.4582900107</v>
      </c>
      <c r="F10" s="14" t="s">
        <v>3</v>
      </c>
      <c r="G10" s="1"/>
    </row>
    <row r="11" spans="1:7" x14ac:dyDescent="0.25">
      <c r="A11" s="1"/>
      <c r="B11" s="104" t="s">
        <v>269</v>
      </c>
      <c r="C11" s="105"/>
      <c r="D11" s="106"/>
      <c r="E11" s="9">
        <v>2164566.4582900107</v>
      </c>
      <c r="F11" s="14" t="s">
        <v>3</v>
      </c>
      <c r="G11" s="1"/>
    </row>
    <row r="12" spans="1:7" x14ac:dyDescent="0.25">
      <c r="A12" s="1"/>
      <c r="B12" s="104" t="s">
        <v>270</v>
      </c>
      <c r="C12" s="105"/>
      <c r="D12" s="106"/>
      <c r="E12" s="9">
        <v>-2586907.2898617797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8" t="s">
        <v>271</v>
      </c>
      <c r="C14" s="99"/>
      <c r="D14" s="99"/>
      <c r="E14" s="99"/>
      <c r="F14" s="100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272</v>
      </c>
      <c r="C16" s="96"/>
      <c r="D16" s="96"/>
      <c r="E16" s="96"/>
      <c r="F16" s="97"/>
      <c r="G16" s="1"/>
    </row>
    <row r="17" spans="1:7" x14ac:dyDescent="0.25">
      <c r="A17" s="1"/>
      <c r="B17" s="104" t="s">
        <v>273</v>
      </c>
      <c r="C17" s="105"/>
      <c r="D17" s="106"/>
      <c r="E17" s="9">
        <v>-211170.27085499465</v>
      </c>
      <c r="F17" s="14" t="s">
        <v>3</v>
      </c>
      <c r="G17" s="1"/>
    </row>
    <row r="18" spans="1:7" x14ac:dyDescent="0.25">
      <c r="A18" s="1"/>
      <c r="B18" s="104" t="s">
        <v>274</v>
      </c>
      <c r="C18" s="105"/>
      <c r="D18" s="106"/>
      <c r="E18" s="9">
        <v>-211170.27085499465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8" t="s">
        <v>275</v>
      </c>
      <c r="C20" s="99"/>
      <c r="D20" s="99"/>
      <c r="E20" s="99"/>
      <c r="F20" s="10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213</v>
      </c>
      <c r="C22" s="57"/>
      <c r="D22" s="57"/>
      <c r="E22" s="57"/>
      <c r="F22" s="58"/>
      <c r="G22" s="1"/>
    </row>
    <row r="23" spans="1:7" x14ac:dyDescent="0.25">
      <c r="A23" s="1"/>
      <c r="B23" s="62" t="s">
        <v>214</v>
      </c>
      <c r="C23" s="63"/>
      <c r="D23" s="64"/>
      <c r="E23" s="9">
        <v>33242963.717191983</v>
      </c>
      <c r="F23" s="14" t="s">
        <v>3</v>
      </c>
      <c r="G23" s="1"/>
    </row>
    <row r="24" spans="1:7" x14ac:dyDescent="0.25">
      <c r="A24" s="1"/>
      <c r="B24" s="62" t="s">
        <v>215</v>
      </c>
      <c r="C24" s="63"/>
      <c r="D24" s="64"/>
      <c r="E24" s="9">
        <v>32817623</v>
      </c>
      <c r="F24" s="14" t="s">
        <v>3</v>
      </c>
      <c r="G24" s="1"/>
    </row>
    <row r="25" spans="1:7" x14ac:dyDescent="0.25">
      <c r="A25" s="1"/>
      <c r="B25" s="62" t="s">
        <v>36</v>
      </c>
      <c r="C25" s="63"/>
      <c r="D25" s="64"/>
      <c r="E25" s="9">
        <v>0</v>
      </c>
      <c r="F25" s="14" t="s">
        <v>3</v>
      </c>
      <c r="G25" s="1"/>
    </row>
    <row r="26" spans="1:7" x14ac:dyDescent="0.25">
      <c r="A26" s="1"/>
      <c r="B26" s="59" t="s">
        <v>276</v>
      </c>
      <c r="C26" s="60"/>
      <c r="D26" s="67"/>
      <c r="E26" s="48">
        <f>E23-(E24-E25)</f>
        <v>425340.71719198301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5" t="s">
        <v>186</v>
      </c>
      <c r="C30" s="96"/>
      <c r="D30" s="96"/>
      <c r="E30" s="96"/>
      <c r="F30" s="97"/>
      <c r="G30" s="1"/>
    </row>
    <row r="31" spans="1:7" x14ac:dyDescent="0.25">
      <c r="A31" s="1"/>
      <c r="B31" s="120" t="s">
        <v>280</v>
      </c>
      <c r="C31" s="121"/>
      <c r="D31" s="122"/>
      <c r="E31" s="9">
        <v>0</v>
      </c>
      <c r="F31" s="14"/>
      <c r="G31" s="1"/>
    </row>
    <row r="32" spans="1:7" x14ac:dyDescent="0.25">
      <c r="A32" s="1"/>
      <c r="B32" s="120" t="s">
        <v>187</v>
      </c>
      <c r="C32" s="121"/>
      <c r="D32" s="122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-422340.54170998931</v>
      </c>
      <c r="F32" s="14" t="s">
        <v>3</v>
      </c>
      <c r="G32" s="1"/>
    </row>
    <row r="33" spans="1:7" x14ac:dyDescent="0.25">
      <c r="A33" s="1"/>
      <c r="B33" s="120" t="s">
        <v>120</v>
      </c>
      <c r="C33" s="121"/>
      <c r="D33" s="122"/>
      <c r="E33" s="9">
        <v>2</v>
      </c>
      <c r="F33" s="14" t="s">
        <v>21</v>
      </c>
      <c r="G33" s="1"/>
    </row>
    <row r="34" spans="1:7" x14ac:dyDescent="0.25">
      <c r="A34" s="1"/>
      <c r="B34" s="116" t="s">
        <v>188</v>
      </c>
      <c r="C34" s="116"/>
      <c r="D34" s="116"/>
      <c r="E34" s="10">
        <f>E32/E33</f>
        <v>-211170.27085499465</v>
      </c>
      <c r="F34" s="17" t="s">
        <v>3</v>
      </c>
      <c r="G34" s="1"/>
    </row>
    <row r="35" spans="1:7" x14ac:dyDescent="0.25">
      <c r="A35" s="1"/>
      <c r="B35" s="117"/>
      <c r="C35" s="118"/>
      <c r="D35" s="118"/>
      <c r="E35" s="118"/>
      <c r="F35" s="119"/>
      <c r="G35" s="1"/>
    </row>
    <row r="36" spans="1:7" ht="75" customHeight="1" x14ac:dyDescent="0.25">
      <c r="A36" s="1"/>
      <c r="B36" s="98" t="s">
        <v>279</v>
      </c>
      <c r="C36" s="99"/>
      <c r="D36" s="99"/>
      <c r="E36" s="99"/>
      <c r="F36" s="10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9ZDLXY+KlxDsLMJrRZIuLgOz6y/zgbvsmpEYKrY81/b26XqfyYINtJmrnnmo2t4sRWYEjddRzY7JhuydGpNzAQ==" saltValue="Kmbpz3cV3tTewpEmHRYUuQ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5" t="s">
        <v>217</v>
      </c>
      <c r="C9" s="96"/>
      <c r="D9" s="96"/>
      <c r="E9" s="96"/>
      <c r="F9" s="97"/>
      <c r="G9" s="1"/>
    </row>
    <row r="10" spans="1:7" x14ac:dyDescent="0.2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366454</v>
      </c>
      <c r="F11" s="8" t="s">
        <v>3</v>
      </c>
      <c r="G11" s="1"/>
    </row>
    <row r="12" spans="1:7" x14ac:dyDescent="0.25">
      <c r="A12" s="1"/>
      <c r="B12" s="101" t="s">
        <v>119</v>
      </c>
      <c r="C12" s="102"/>
      <c r="D12" s="123"/>
      <c r="E12" s="10">
        <f>E11-E10</f>
        <v>366454</v>
      </c>
      <c r="F12" s="11" t="s">
        <v>3</v>
      </c>
      <c r="G12" s="1"/>
    </row>
    <row r="13" spans="1:7" x14ac:dyDescent="0.25">
      <c r="A13" s="1"/>
      <c r="B13" s="95" t="s">
        <v>109</v>
      </c>
      <c r="C13" s="96"/>
      <c r="D13" s="96"/>
      <c r="E13" s="96"/>
      <c r="F13" s="97"/>
      <c r="G13" s="1"/>
    </row>
    <row r="14" spans="1:7" x14ac:dyDescent="0.2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25">
      <c r="A15" s="1"/>
      <c r="B15" s="98" t="s">
        <v>220</v>
      </c>
      <c r="C15" s="99"/>
      <c r="D15" s="100"/>
      <c r="E15" s="9">
        <v>0</v>
      </c>
      <c r="F15" s="8" t="s">
        <v>3</v>
      </c>
      <c r="G15" s="1"/>
    </row>
    <row r="16" spans="1:7" x14ac:dyDescent="0.25">
      <c r="A16" s="1"/>
      <c r="B16" s="101" t="s">
        <v>119</v>
      </c>
      <c r="C16" s="102"/>
      <c r="D16" s="123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366454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1x6mfStYYcXTOxiP6M19/FPMa18FKXQtXT4jkuLVh0coUulwjGJfxwruli+PmfA9wk+bdHFw+joa0RfZoK6CA==" saltValue="cq3I1wDQgdnNyFJcFmGek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8" t="s">
        <v>281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5" t="s">
        <v>179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oXRTZlkABr0WIeFpTLoOEsnkKoeGDv39a1LLBjBvyV3F1MKrgl1CMy4Rs0ax4kopDPFILMQf5W5YYklg9kLBVg==" saltValue="Zw9k1mnHeuJGSW8qILDai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278</v>
      </c>
      <c r="C11" s="22">
        <v>0</v>
      </c>
      <c r="D11" s="14" t="s">
        <v>3</v>
      </c>
      <c r="E11" s="9">
        <v>1187408</v>
      </c>
      <c r="F11" s="14" t="s">
        <v>3</v>
      </c>
      <c r="G11" s="1"/>
    </row>
    <row r="12" spans="1:7" x14ac:dyDescent="0.25">
      <c r="A12" s="1"/>
      <c r="B12" s="38" t="s">
        <v>163</v>
      </c>
      <c r="C12" s="12">
        <f>SUM(C10:C11)</f>
        <v>0</v>
      </c>
      <c r="D12" s="13" t="s">
        <v>3</v>
      </c>
      <c r="E12" s="12">
        <f>SUM(E10:E11)</f>
        <v>1187408</v>
      </c>
      <c r="F12" s="13" t="s">
        <v>3</v>
      </c>
      <c r="G12" s="1"/>
    </row>
    <row r="13" spans="1:7" x14ac:dyDescent="0.25">
      <c r="A13" s="1"/>
      <c r="B13" s="38" t="s">
        <v>222</v>
      </c>
      <c r="C13" s="12">
        <f>C12*(1+'Fane 14. Nøgletal'!C14)</f>
        <v>0</v>
      </c>
      <c r="D13" s="13" t="s">
        <v>3</v>
      </c>
      <c r="E13" s="12">
        <f>E12*(1+'Fane 14. Nøgletal'!C14)</f>
        <v>1191326.4464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wNTiDgXE7x/fUEntyPF1S7bcmQbcQYkfQcFP3UN9LViJ8zz3NTQL3Xu4dZ5jHqSqeNzRh7aOwl/bYlyNU+9Gg==" saltValue="YOWLa0j48PQ+YrmrU4/TG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112</v>
      </c>
      <c r="C8" s="96"/>
      <c r="D8" s="96"/>
      <c r="E8" s="96"/>
      <c r="F8" s="97"/>
      <c r="G8" s="1"/>
    </row>
    <row r="9" spans="1:7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282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113</v>
      </c>
      <c r="C16" s="96"/>
      <c r="D16" s="96"/>
      <c r="E16" s="96"/>
      <c r="F16" s="97"/>
      <c r="G16" s="1"/>
    </row>
    <row r="17" spans="1:7" x14ac:dyDescent="0.2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25">
      <c r="A18" s="1"/>
      <c r="B18" s="25" t="s">
        <v>282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166</v>
      </c>
      <c r="C24" s="96"/>
      <c r="D24" s="96"/>
      <c r="E24" s="96"/>
      <c r="F24" s="97"/>
      <c r="G24" s="1"/>
    </row>
    <row r="25" spans="1:7" x14ac:dyDescent="0.2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25">
      <c r="A26" s="1"/>
      <c r="B26" s="25" t="s">
        <v>282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224</v>
      </c>
      <c r="C32" s="96"/>
      <c r="D32" s="96"/>
      <c r="E32" s="96"/>
      <c r="F32" s="97"/>
      <c r="G32" s="1"/>
    </row>
    <row r="33" spans="1:7" x14ac:dyDescent="0.2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25">
      <c r="A34" s="1"/>
      <c r="B34" s="25" t="s">
        <v>282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zb79Z31lRpCH7JIpKUxwwEViTymdORzFs7dCP8OgVSnRY5T20eOHfUtwk+boqHZSgVqsGROZNhibL6R3d+2OWA==" saltValue="GpBrr5PEpgmeJqWjOvvA+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03"/>
      <c r="C5" s="103"/>
      <c r="D5" s="103"/>
      <c r="E5" s="103"/>
      <c r="F5" s="10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103</v>
      </c>
      <c r="C8" s="96"/>
      <c r="D8" s="96"/>
      <c r="E8" s="96"/>
      <c r="F8" s="97"/>
      <c r="G8" s="1"/>
    </row>
    <row r="9" spans="1:7" x14ac:dyDescent="0.25">
      <c r="A9" s="1"/>
      <c r="B9" s="124" t="s">
        <v>226</v>
      </c>
      <c r="C9" s="125"/>
      <c r="D9" s="126"/>
      <c r="E9" s="9">
        <v>419300.58685151493</v>
      </c>
      <c r="F9" s="14" t="s">
        <v>3</v>
      </c>
      <c r="G9" s="1"/>
    </row>
    <row r="10" spans="1:7" x14ac:dyDescent="0.25">
      <c r="A10" s="1"/>
      <c r="B10" s="89" t="s">
        <v>10</v>
      </c>
      <c r="C10" s="90"/>
      <c r="D10" s="91"/>
      <c r="E10" s="9">
        <f>-E9*'Fane 5. Individuelt eff. krav'!G12</f>
        <v>-454.51222997761295</v>
      </c>
      <c r="F10" s="14" t="s">
        <v>3</v>
      </c>
      <c r="G10" s="1"/>
    </row>
    <row r="11" spans="1:7" x14ac:dyDescent="0.25">
      <c r="A11" s="1"/>
      <c r="B11" s="89" t="s">
        <v>26</v>
      </c>
      <c r="C11" s="90"/>
      <c r="D11" s="91"/>
      <c r="E11" s="9">
        <f>-E9*'Fane 14. Nøgletal'!C29</f>
        <v>-8386.0117370302996</v>
      </c>
      <c r="F11" s="14" t="s">
        <v>3</v>
      </c>
      <c r="G11" s="1"/>
    </row>
    <row r="12" spans="1:7" x14ac:dyDescent="0.25">
      <c r="A12" s="1"/>
      <c r="B12" s="95" t="s">
        <v>105</v>
      </c>
      <c r="C12" s="96"/>
      <c r="D12" s="97"/>
      <c r="E12" s="12">
        <f>SUM(E9:E11)*(1+'Fane 14. Nøgletal'!C14)^2</f>
        <v>413173.56920962961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419300.58685151493</v>
      </c>
      <c r="F15" s="14" t="s">
        <v>3</v>
      </c>
      <c r="G15" s="1"/>
    </row>
    <row r="16" spans="1:7" x14ac:dyDescent="0.25">
      <c r="A16" s="1"/>
      <c r="B16" s="89" t="s">
        <v>10</v>
      </c>
      <c r="C16" s="90"/>
      <c r="D16" s="91"/>
      <c r="E16" s="9">
        <f>-E15*'Fane 5. Individuelt eff. krav'!G12</f>
        <v>-454.51222997761295</v>
      </c>
      <c r="F16" s="14" t="s">
        <v>3</v>
      </c>
      <c r="G16" s="1"/>
    </row>
    <row r="17" spans="1:7" x14ac:dyDescent="0.25">
      <c r="A17" s="1"/>
      <c r="B17" s="89" t="s">
        <v>26</v>
      </c>
      <c r="C17" s="90"/>
      <c r="D17" s="91"/>
      <c r="E17" s="9">
        <f>-E15*'Fane 14. Nøgletal'!C29</f>
        <v>-8386.0117370302996</v>
      </c>
      <c r="F17" s="14" t="s">
        <v>3</v>
      </c>
      <c r="G17" s="1"/>
    </row>
    <row r="18" spans="1:7" x14ac:dyDescent="0.25">
      <c r="A18" s="1"/>
      <c r="B18" s="95" t="s">
        <v>106</v>
      </c>
      <c r="C18" s="96"/>
      <c r="D18" s="97"/>
      <c r="E18" s="12">
        <f>SUM(E15:E17)*(1+'Fane 14. Nøgletal'!C14)^3</f>
        <v>414537.04198802146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419300.58685151493</v>
      </c>
      <c r="F21" s="14" t="s">
        <v>3</v>
      </c>
      <c r="G21" s="1"/>
    </row>
    <row r="22" spans="1:7" x14ac:dyDescent="0.25">
      <c r="A22" s="1"/>
      <c r="B22" s="89" t="s">
        <v>10</v>
      </c>
      <c r="C22" s="90"/>
      <c r="D22" s="91"/>
      <c r="E22" s="9">
        <f>-E21*'Fane 5. Individuelt eff. krav'!G12</f>
        <v>-454.51222997761295</v>
      </c>
      <c r="F22" s="14" t="s">
        <v>3</v>
      </c>
      <c r="G22" s="1"/>
    </row>
    <row r="23" spans="1:7" x14ac:dyDescent="0.25">
      <c r="A23" s="1"/>
      <c r="B23" s="89" t="s">
        <v>26</v>
      </c>
      <c r="C23" s="90"/>
      <c r="D23" s="91"/>
      <c r="E23" s="9">
        <f>-E21*'Fane 14. Nøgletal'!C29</f>
        <v>-8386.0117370302996</v>
      </c>
      <c r="F23" s="14" t="s">
        <v>3</v>
      </c>
      <c r="G23" s="1"/>
    </row>
    <row r="24" spans="1:7" x14ac:dyDescent="0.25">
      <c r="A24" s="1"/>
      <c r="B24" s="95" t="s">
        <v>156</v>
      </c>
      <c r="C24" s="96"/>
      <c r="D24" s="97"/>
      <c r="E24" s="12">
        <f>SUM(E21:E23)*(1+'Fane 14. Nøgletal'!C14)^4</f>
        <v>415905.01422658196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419300.58685151493</v>
      </c>
      <c r="F27" s="14" t="s">
        <v>3</v>
      </c>
      <c r="G27" s="1"/>
    </row>
    <row r="28" spans="1:7" x14ac:dyDescent="0.25">
      <c r="A28" s="1"/>
      <c r="B28" s="89" t="s">
        <v>10</v>
      </c>
      <c r="C28" s="90"/>
      <c r="D28" s="91"/>
      <c r="E28" s="9">
        <f>-E27*'Fane 5. Individuelt eff. krav'!G12</f>
        <v>-454.51222997761295</v>
      </c>
      <c r="F28" s="14" t="s">
        <v>3</v>
      </c>
      <c r="G28" s="1"/>
    </row>
    <row r="29" spans="1:7" x14ac:dyDescent="0.25">
      <c r="A29" s="1"/>
      <c r="B29" s="89" t="s">
        <v>26</v>
      </c>
      <c r="C29" s="90"/>
      <c r="D29" s="91"/>
      <c r="E29" s="9">
        <f>-E27*'Fane 14. Nøgletal'!C29</f>
        <v>-8386.0117370302996</v>
      </c>
      <c r="F29" s="14" t="s">
        <v>3</v>
      </c>
      <c r="G29" s="1"/>
    </row>
    <row r="30" spans="1:7" x14ac:dyDescent="0.25">
      <c r="A30" s="1"/>
      <c r="B30" s="95" t="s">
        <v>228</v>
      </c>
      <c r="C30" s="96"/>
      <c r="D30" s="97"/>
      <c r="E30" s="12">
        <f>SUM(E27:E29)*(1+'Fane 14. Nøgletal'!C14)^5</f>
        <v>417277.5007735297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zFUMpLQHynI+tnL3GkAJtmmAPUhzXiHJJhUdMosT5LqSxTfm2CfDiwMyVkJUrzp8qS9mJBA0DPCcmufd0DFhw==" saltValue="Jpy/bvoU2Ar7jtZnqEEtu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HokdbkAMgWnJ3ziLB5q/aVX73KKXUlh/tIWpPsWzAdMn/Aodf0CLPsGg+kjzx05PCscmcJim9vCjPdjoXJbz+A==" saltValue="T3askgjaDf1HN7uwpASvU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108</v>
      </c>
      <c r="C14" s="96"/>
      <c r="D14" s="96"/>
      <c r="E14" s="96"/>
      <c r="F14" s="97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169</v>
      </c>
      <c r="C20" s="96"/>
      <c r="D20" s="96"/>
      <c r="E20" s="96"/>
      <c r="F20" s="97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231</v>
      </c>
      <c r="C26" s="96"/>
      <c r="D26" s="96"/>
      <c r="E26" s="96"/>
      <c r="F26" s="97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BSwHoEh/olSpm9khHyxirlf1iOy0BemYFGOw4c6hcLRU5l64rGMw9q7JtWk1DUp/vjAZp90ndc1K19XX28/cRA==" saltValue="iy8cavHoqK4BlgaUOhndd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3" t="s">
        <v>189</v>
      </c>
      <c r="C3" s="103"/>
      <c r="D3" s="1"/>
    </row>
    <row r="4" spans="1:4" ht="25.5" customHeight="1" x14ac:dyDescent="0.25">
      <c r="A4" s="1"/>
      <c r="B4" s="103"/>
      <c r="C4" s="10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5" t="s">
        <v>137</v>
      </c>
      <c r="C9" s="26">
        <v>1.2699999999999999E-2</v>
      </c>
      <c r="D9" s="1"/>
    </row>
    <row r="10" spans="1:4" x14ac:dyDescent="0.25">
      <c r="A10" s="1"/>
      <c r="B10" s="65" t="s">
        <v>138</v>
      </c>
      <c r="C10" s="26">
        <v>1.7500000000000002E-2</v>
      </c>
      <c r="D10" s="1"/>
    </row>
    <row r="11" spans="1:4" x14ac:dyDescent="0.25">
      <c r="A11" s="1"/>
      <c r="B11" s="65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5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5" t="s">
        <v>139</v>
      </c>
      <c r="C19" s="23">
        <v>9.1000000000000004E-3</v>
      </c>
      <c r="D19" s="1"/>
    </row>
    <row r="20" spans="1:4" x14ac:dyDescent="0.25">
      <c r="A20" s="1"/>
      <c r="B20" s="65" t="s">
        <v>190</v>
      </c>
      <c r="C20" s="23">
        <v>1.77E-2</v>
      </c>
      <c r="D20" s="1"/>
    </row>
    <row r="21" spans="1:4" x14ac:dyDescent="0.25">
      <c r="A21" s="1"/>
      <c r="B21" s="65" t="s">
        <v>191</v>
      </c>
      <c r="C21" s="23">
        <v>8.6999999999999994E-3</v>
      </c>
      <c r="D21" s="1"/>
    </row>
    <row r="22" spans="1:4" x14ac:dyDescent="0.25">
      <c r="A22" s="1"/>
      <c r="B22" s="65" t="s">
        <v>140</v>
      </c>
      <c r="C22" s="41">
        <v>2.8400000000000002E-2</v>
      </c>
      <c r="D22" s="1"/>
    </row>
    <row r="23" spans="1:4" x14ac:dyDescent="0.25">
      <c r="A23" s="1"/>
      <c r="B23" s="65" t="s">
        <v>192</v>
      </c>
      <c r="C23" s="41">
        <v>2.75E-2</v>
      </c>
      <c r="D23" s="1"/>
    </row>
    <row r="24" spans="1:4" x14ac:dyDescent="0.25">
      <c r="A24" s="1"/>
      <c r="B24" s="65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5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yQbZselv4YtXVrAIsYzVEcuWBm42KIyZm1hnbAFF2T96prkdDF039PwuEC61c4ObQ29R96JbZwCPBjZHm7JiDA==" saltValue="BBYJ9opSnRCu0ShtAGCXK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31420028.837283749</v>
      </c>
      <c r="D9" s="8" t="s">
        <v>3</v>
      </c>
      <c r="E9" s="1"/>
    </row>
    <row r="10" spans="1:5" ht="17.100000000000001" customHeight="1" x14ac:dyDescent="0.25">
      <c r="A10" s="1"/>
      <c r="B10" s="53" t="s">
        <v>43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53" t="s">
        <v>44</v>
      </c>
      <c r="C11" s="9">
        <f>'Fane 10.1. Varige tillæg'!E13</f>
        <v>1191326.4464</v>
      </c>
      <c r="D11" s="8" t="s">
        <v>3</v>
      </c>
      <c r="E11" s="1"/>
    </row>
    <row r="12" spans="1:5" ht="17.100000000000001" customHeight="1" x14ac:dyDescent="0.2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20</v>
      </c>
      <c r="C16" s="9">
        <f>SUM(C9:C15)*'Fane 14. Nøgletal'!C14</f>
        <v>107617.47243615637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krav'!G12</f>
        <v>-35466.616876515574</v>
      </c>
      <c r="D17" s="8" t="s">
        <v>3</v>
      </c>
      <c r="E17" s="1"/>
    </row>
    <row r="18" spans="1:5" ht="17.100000000000001" customHeight="1" x14ac:dyDescent="0.25">
      <c r="A18" s="1"/>
      <c r="B18" s="53" t="s">
        <v>26</v>
      </c>
      <c r="C18" s="9">
        <f>-'Fane 4.1. Gen. krav - drift'!G40</f>
        <v>-423970.88270772318</v>
      </c>
      <c r="D18" s="8" t="s">
        <v>3</v>
      </c>
      <c r="E18" s="1"/>
    </row>
    <row r="19" spans="1:5" ht="17.100000000000001" customHeight="1" x14ac:dyDescent="0.25">
      <c r="A19" s="1"/>
      <c r="B19" s="53" t="s">
        <v>27</v>
      </c>
      <c r="C19" s="9">
        <f>-'Fane 4.2. Gen. krav - anlæg'!G37</f>
        <v>-171198.08159909412</v>
      </c>
      <c r="D19" s="8" t="s">
        <v>3</v>
      </c>
      <c r="E19" s="1"/>
    </row>
    <row r="20" spans="1:5" ht="17.100000000000001" customHeight="1" x14ac:dyDescent="0.25">
      <c r="A20" s="1"/>
      <c r="B20" s="59" t="s">
        <v>22</v>
      </c>
      <c r="C20" s="10">
        <f>SUM(C9:C19)</f>
        <v>32088337.174936574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1295608.8765190002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9" t="s">
        <v>94</v>
      </c>
      <c r="C24" s="10">
        <f>'Fane 11. Periodevise driftsomk.'!E12</f>
        <v>413173.56920962961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9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284</v>
      </c>
      <c r="C30" s="10">
        <f>'Fane 7. Kontrol af ØR2020'!E34</f>
        <v>-211170.27085499465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366454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6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33952403.349810213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hE8yKXlqB2246sAyXz3Fu7F5YamKsRrbrkL97KU18tL/TgCRFn817Nr1IPBlT3UFTjyhehpafWIgylLSM8Sng==" saltValue="xnl6//0zmm0FWMNurpOMG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32088337.174936574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105891.5126772907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-34897.806328132858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-416862.58332198882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-169220.94234639927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31573247.355617344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1299884.3858115131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driftsomk.'!E18</f>
        <v>414537.04198802146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284</v>
      </c>
      <c r="C26" s="10">
        <f>'Fane 7. Kontrol af ØR2020'!E34</f>
        <v>-211170.27085499465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6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33076498.512561884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wqZYEzXn/RsBdfqdXnjVCYL2dM8TXnfFy0xZB3WqQtYBXnnfc1hSyDvbjzxHIljYgeqvDrTv7AI4UJyBcq9/ig==" saltValue="StuXtybBr8ZtW+CSu+q1k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31573247.355617344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104191.71627353724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-34337.618224330596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-409873.46168375568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-167266.63675859148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31065961.355224207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1304174.0042846911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driftsomk.'!E24</f>
        <v>415905.01422658196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32786040.37373548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kZypCgYLspE1sMuPKcC85IxxjH5LohWIfggOJXMDlTVredeBs5DCtRIEUaFqafahGWvBGyD21oupcR1Nk0akxw==" saltValue="OujdYi6oOEXLf5n/rDR+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31065961.355224207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102517.67247223988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-33785.917196689923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-403001.51965890924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-165334.90113332841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30566356.689707518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1308477.7784988307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driftsomk.'!E30</f>
        <v>417277.5007735297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32292111.96897988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17aLOsTarTXZl7xlOxhaLugsMLxbG2KeliENSbcvxPJ0iPONEuwH3qJL7m4XOlpwtV2dYjnu7WX4dEU8UakPqA==" saltValue="uHxrw6glc3RLLZPyO7ybT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277</v>
      </c>
      <c r="C8" s="32"/>
      <c r="D8" s="32"/>
      <c r="E8" s="32"/>
      <c r="F8" s="20"/>
      <c r="G8" s="1"/>
    </row>
    <row r="9" spans="1:7" ht="15" customHeight="1" x14ac:dyDescent="0.25">
      <c r="A9" s="1"/>
      <c r="B9" s="98" t="s">
        <v>25</v>
      </c>
      <c r="C9" s="99"/>
      <c r="D9" s="100"/>
      <c r="E9" s="7">
        <v>31532227.380063944</v>
      </c>
      <c r="F9" s="8" t="s">
        <v>3</v>
      </c>
      <c r="G9" s="1"/>
    </row>
    <row r="10" spans="1:7" ht="15" customHeight="1" x14ac:dyDescent="0.25">
      <c r="A10" s="1"/>
      <c r="B10" s="89" t="s">
        <v>43</v>
      </c>
      <c r="C10" s="90"/>
      <c r="D10" s="91"/>
      <c r="E10" s="7">
        <v>0</v>
      </c>
      <c r="F10" s="8" t="s">
        <v>3</v>
      </c>
      <c r="G10" s="1"/>
    </row>
    <row r="11" spans="1:7" ht="15" customHeight="1" x14ac:dyDescent="0.25">
      <c r="A11" s="1"/>
      <c r="B11" s="89" t="s">
        <v>44</v>
      </c>
      <c r="C11" s="90"/>
      <c r="D11" s="91"/>
      <c r="E11" s="9">
        <v>0</v>
      </c>
      <c r="F11" s="8" t="s">
        <v>3</v>
      </c>
      <c r="G11" s="1"/>
    </row>
    <row r="12" spans="1:7" ht="15" customHeight="1" x14ac:dyDescent="0.2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2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2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2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25">
      <c r="A16" s="1"/>
      <c r="B16" s="98" t="s">
        <v>20</v>
      </c>
      <c r="C16" s="99"/>
      <c r="D16" s="100"/>
      <c r="E16" s="9">
        <v>621184.8793872596</v>
      </c>
      <c r="F16" s="8" t="s">
        <v>3</v>
      </c>
      <c r="G16" s="1"/>
    </row>
    <row r="17" spans="1:7" ht="15" customHeight="1" x14ac:dyDescent="0.25">
      <c r="A17" s="1"/>
      <c r="B17" s="98" t="s">
        <v>10</v>
      </c>
      <c r="C17" s="99"/>
      <c r="D17" s="100"/>
      <c r="E17" s="9">
        <v>0</v>
      </c>
      <c r="F17" s="8" t="s">
        <v>3</v>
      </c>
      <c r="G17" s="1"/>
    </row>
    <row r="18" spans="1:7" ht="15" customHeight="1" x14ac:dyDescent="0.25">
      <c r="A18" s="1"/>
      <c r="B18" s="98" t="s">
        <v>26</v>
      </c>
      <c r="C18" s="99"/>
      <c r="D18" s="100"/>
      <c r="E18" s="9">
        <f>-'Fane 4.1. Gen. krav - drift'!G34</f>
        <v>-431200.39204704046</v>
      </c>
      <c r="F18" s="8" t="s">
        <v>3</v>
      </c>
      <c r="G18" s="1"/>
    </row>
    <row r="19" spans="1:7" ht="15" customHeight="1" x14ac:dyDescent="0.25">
      <c r="A19" s="1"/>
      <c r="B19" s="98" t="s">
        <v>27</v>
      </c>
      <c r="C19" s="99"/>
      <c r="D19" s="100"/>
      <c r="E19" s="9">
        <f>-'Fane 4.2. Gen. krav - anlæg'!G31</f>
        <v>-302183.03012041526</v>
      </c>
      <c r="F19" s="8" t="s">
        <v>3</v>
      </c>
      <c r="G19" s="1"/>
    </row>
    <row r="20" spans="1:7" ht="15" customHeight="1" x14ac:dyDescent="0.25">
      <c r="A20" s="1"/>
      <c r="B20" s="59" t="s">
        <v>22</v>
      </c>
      <c r="C20" s="60"/>
      <c r="D20" s="67"/>
      <c r="E20" s="10">
        <f>SUM(E9:E19)</f>
        <v>31420028.837283749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2" t="s">
        <v>13</v>
      </c>
      <c r="C22" s="93"/>
      <c r="D22" s="94"/>
      <c r="E22" s="10">
        <v>1209461.4637408801</v>
      </c>
      <c r="F22" s="11" t="s">
        <v>3</v>
      </c>
      <c r="G22" s="1"/>
    </row>
    <row r="23" spans="1:7" ht="15" customHeight="1" x14ac:dyDescent="0.2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25">
      <c r="A24" s="1"/>
      <c r="B24" s="59" t="s">
        <v>94</v>
      </c>
      <c r="C24" s="43"/>
      <c r="D24" s="44"/>
      <c r="E24" s="10">
        <v>420163.32108511316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9" t="s">
        <v>89</v>
      </c>
      <c r="C26" s="90"/>
      <c r="D26" s="91"/>
      <c r="E26" s="9">
        <v>0</v>
      </c>
      <c r="F26" s="8" t="s">
        <v>3</v>
      </c>
      <c r="G26" s="1"/>
    </row>
    <row r="27" spans="1:7" ht="15" customHeight="1" x14ac:dyDescent="0.2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2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2" t="s">
        <v>185</v>
      </c>
      <c r="C30" s="93"/>
      <c r="D30" s="93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2" t="s">
        <v>148</v>
      </c>
      <c r="C32" s="93"/>
      <c r="D32" s="94"/>
      <c r="E32" s="10">
        <v>1079020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34128673.622109741</v>
      </c>
      <c r="F33" s="13" t="s">
        <v>3</v>
      </c>
      <c r="G33" s="1"/>
    </row>
    <row r="34" spans="1:7" ht="27" customHeight="1" x14ac:dyDescent="0.25">
      <c r="A34" s="1"/>
      <c r="B34" s="98" t="s">
        <v>252</v>
      </c>
      <c r="C34" s="99"/>
      <c r="D34" s="99"/>
      <c r="E34" s="99"/>
      <c r="F34" s="10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SPoxb02BB42vpwQeHamvtcnA08QGyQyDt48Bil+A86MqF+s0Ei+PNXxsWbmIn/+lokAT0RcrH8SOiEPj8ZJ3g==" saltValue="4J5bqpi7U7UP8ILGZo8RKQ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7109375" style="2" bestFit="1" customWidth="1"/>
    <col min="8" max="8" width="6.8554687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2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104" t="s">
        <v>45</v>
      </c>
      <c r="C6" s="105"/>
      <c r="D6" s="105"/>
      <c r="E6" s="105"/>
      <c r="F6" s="106"/>
      <c r="G6" s="24">
        <v>21732944</v>
      </c>
      <c r="H6" s="14" t="s">
        <v>3</v>
      </c>
      <c r="I6" s="1"/>
    </row>
    <row r="7" spans="1:9" x14ac:dyDescent="0.25">
      <c r="A7" s="1"/>
      <c r="B7" s="98" t="s">
        <v>145</v>
      </c>
      <c r="C7" s="99"/>
      <c r="D7" s="99"/>
      <c r="E7" s="99"/>
      <c r="F7" s="100"/>
      <c r="G7" s="24">
        <v>543905</v>
      </c>
      <c r="H7" s="14" t="s">
        <v>3</v>
      </c>
      <c r="I7" s="1"/>
    </row>
    <row r="8" spans="1:9" x14ac:dyDescent="0.25">
      <c r="A8" s="1"/>
      <c r="B8" s="104" t="s">
        <v>46</v>
      </c>
      <c r="C8" s="105"/>
      <c r="D8" s="105"/>
      <c r="E8" s="105"/>
      <c r="F8" s="106"/>
      <c r="G8" s="24">
        <f>SUM(G6:G7)*'Fane 14. Nøgletal'!C29</f>
        <v>445536.98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2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21659936.64285</v>
      </c>
      <c r="H12" s="14" t="s">
        <v>3</v>
      </c>
      <c r="I12" s="1"/>
    </row>
    <row r="13" spans="1:9" ht="15" customHeight="1" x14ac:dyDescent="0.25">
      <c r="A13" s="1"/>
      <c r="B13" s="104" t="s">
        <v>146</v>
      </c>
      <c r="C13" s="105"/>
      <c r="D13" s="105"/>
      <c r="E13" s="105"/>
      <c r="F13" s="106"/>
      <c r="G13" s="51">
        <v>-0.17831283561885358</v>
      </c>
      <c r="H13" s="14" t="s">
        <v>3</v>
      </c>
      <c r="I13" s="1"/>
    </row>
    <row r="14" spans="1:9" x14ac:dyDescent="0.25">
      <c r="A14" s="1"/>
      <c r="B14" s="98" t="s">
        <v>143</v>
      </c>
      <c r="C14" s="99"/>
      <c r="D14" s="99"/>
      <c r="E14" s="99"/>
      <c r="F14" s="100"/>
      <c r="G14" s="24">
        <v>404365.6925</v>
      </c>
      <c r="H14" s="14" t="s">
        <v>3</v>
      </c>
      <c r="I14" s="1"/>
    </row>
    <row r="15" spans="1:9" x14ac:dyDescent="0.25">
      <c r="A15" s="1"/>
      <c r="B15" s="107" t="s">
        <v>48</v>
      </c>
      <c r="C15" s="108"/>
      <c r="D15" s="108"/>
      <c r="E15" s="108"/>
      <c r="F15" s="109"/>
      <c r="G15" s="51">
        <v>-0.17831283561885358</v>
      </c>
      <c r="H15" s="14" t="s">
        <v>3</v>
      </c>
      <c r="I15" s="1"/>
    </row>
    <row r="16" spans="1:9" x14ac:dyDescent="0.2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441286.03957448661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2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21589976.625966221</v>
      </c>
      <c r="H20" s="14" t="s">
        <v>3</v>
      </c>
      <c r="I20" s="1"/>
    </row>
    <row r="21" spans="1:9" x14ac:dyDescent="0.25">
      <c r="A21" s="1"/>
      <c r="B21" s="107" t="s">
        <v>51</v>
      </c>
      <c r="C21" s="108"/>
      <c r="D21" s="108"/>
      <c r="E21" s="108"/>
      <c r="F21" s="109"/>
      <c r="G21" s="51">
        <v>-0.17831283561885358</v>
      </c>
      <c r="H21" s="14" t="s">
        <v>3</v>
      </c>
      <c r="I21" s="1"/>
    </row>
    <row r="22" spans="1:9" x14ac:dyDescent="0.2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431799.52895306773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2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21574993.003998715</v>
      </c>
      <c r="H26" s="14" t="s">
        <v>3</v>
      </c>
      <c r="I26" s="1"/>
    </row>
    <row r="27" spans="1:9" x14ac:dyDescent="0.25">
      <c r="A27" s="1"/>
      <c r="B27" s="107" t="s">
        <v>54</v>
      </c>
      <c r="C27" s="108"/>
      <c r="D27" s="108"/>
      <c r="E27" s="108"/>
      <c r="F27" s="109"/>
      <c r="G27" s="51">
        <v>-0.17831283561885358</v>
      </c>
      <c r="H27" s="14" t="s">
        <v>3</v>
      </c>
      <c r="I27" s="1"/>
    </row>
    <row r="28" spans="1:9" x14ac:dyDescent="0.2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431499.85651371762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2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21560019.780664857</v>
      </c>
      <c r="H32" s="14" t="s">
        <v>3</v>
      </c>
      <c r="I32" s="1"/>
    </row>
    <row r="33" spans="1:9" x14ac:dyDescent="0.25">
      <c r="A33" s="1"/>
      <c r="B33" s="104" t="s">
        <v>171</v>
      </c>
      <c r="C33" s="105"/>
      <c r="D33" s="105"/>
      <c r="E33" s="105"/>
      <c r="F33" s="106"/>
      <c r="G33" s="51">
        <v>-0.17831283561885358</v>
      </c>
      <c r="H33" s="14" t="s">
        <v>3</v>
      </c>
      <c r="I33" s="1"/>
    </row>
    <row r="34" spans="1:9" x14ac:dyDescent="0.2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431200.39204704046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2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21198544.313698992</v>
      </c>
      <c r="H38" s="14" t="s">
        <v>3</v>
      </c>
      <c r="I38" s="1"/>
    </row>
    <row r="39" spans="1:9" x14ac:dyDescent="0.25">
      <c r="A39" s="1"/>
      <c r="B39" s="104" t="s">
        <v>236</v>
      </c>
      <c r="C39" s="105"/>
      <c r="D39" s="105"/>
      <c r="E39" s="105"/>
      <c r="F39" s="106"/>
      <c r="G39" s="51">
        <v>-0.17831283561885358</v>
      </c>
      <c r="H39" s="14" t="s">
        <v>3</v>
      </c>
      <c r="I39" s="1"/>
    </row>
    <row r="40" spans="1:9" x14ac:dyDescent="0.2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423970.88270772318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2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20843129.344412275</v>
      </c>
      <c r="H44" s="14" t="s">
        <v>3</v>
      </c>
      <c r="I44" s="1"/>
    </row>
    <row r="45" spans="1:9" x14ac:dyDescent="0.25">
      <c r="A45" s="1"/>
      <c r="B45" s="110" t="s">
        <v>237</v>
      </c>
      <c r="C45" s="111"/>
      <c r="D45" s="111"/>
      <c r="E45" s="111"/>
      <c r="F45" s="112"/>
      <c r="G45" s="51">
        <v>-0.17831283561885358</v>
      </c>
      <c r="H45" s="14" t="s">
        <v>3</v>
      </c>
      <c r="I45" s="1"/>
    </row>
    <row r="46" spans="1:9" x14ac:dyDescent="0.25">
      <c r="A46" s="1"/>
      <c r="B46" s="104" t="s">
        <v>97</v>
      </c>
      <c r="C46" s="105"/>
      <c r="D46" s="105"/>
      <c r="E46" s="105"/>
      <c r="F46" s="106"/>
      <c r="G46" s="51">
        <v>-0.17831283561885358</v>
      </c>
      <c r="H46" s="14" t="s">
        <v>3</v>
      </c>
      <c r="I46" s="1"/>
    </row>
    <row r="47" spans="1:9" x14ac:dyDescent="0.2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416862.58332198882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2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20493673.262500618</v>
      </c>
      <c r="H53" s="14" t="s">
        <v>3</v>
      </c>
      <c r="I53" s="1"/>
    </row>
    <row r="54" spans="1:9" x14ac:dyDescent="0.25">
      <c r="A54" s="1"/>
      <c r="B54" s="104" t="s">
        <v>174</v>
      </c>
      <c r="C54" s="105"/>
      <c r="D54" s="105"/>
      <c r="E54" s="105"/>
      <c r="F54" s="106"/>
      <c r="G54" s="51">
        <v>-0.17831283561885358</v>
      </c>
      <c r="H54" s="14" t="s">
        <v>3</v>
      </c>
      <c r="I54" s="1"/>
    </row>
    <row r="55" spans="1:9" x14ac:dyDescent="0.2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409873.46168375568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6" t="s">
        <v>201</v>
      </c>
      <c r="C58" s="57"/>
      <c r="D58" s="57"/>
      <c r="E58" s="57"/>
      <c r="F58" s="57"/>
      <c r="G58" s="57"/>
      <c r="H58" s="58"/>
      <c r="I58" s="1"/>
    </row>
    <row r="59" spans="1:9" x14ac:dyDescent="0.25">
      <c r="A59" s="1"/>
      <c r="B59" s="62" t="s">
        <v>202</v>
      </c>
      <c r="C59" s="63"/>
      <c r="D59" s="63"/>
      <c r="E59" s="63"/>
      <c r="F59" s="64"/>
      <c r="G59" s="24">
        <f>(G53+G54-G55)*(1+'Fane 14. Nøgletal'!C14)</f>
        <v>20150076.161258295</v>
      </c>
      <c r="H59" s="14" t="s">
        <v>3</v>
      </c>
      <c r="I59" s="1"/>
    </row>
    <row r="60" spans="1:9" x14ac:dyDescent="0.25">
      <c r="A60" s="1"/>
      <c r="B60" s="62" t="s">
        <v>203</v>
      </c>
      <c r="C60" s="63"/>
      <c r="D60" s="63"/>
      <c r="E60" s="63"/>
      <c r="F60" s="64"/>
      <c r="G60" s="51">
        <v>-0.17831283561885358</v>
      </c>
      <c r="H60" s="14" t="s">
        <v>3</v>
      </c>
      <c r="I60" s="1"/>
    </row>
    <row r="61" spans="1:9" x14ac:dyDescent="0.25">
      <c r="A61" s="1"/>
      <c r="B61" s="62" t="s">
        <v>204</v>
      </c>
      <c r="C61" s="63"/>
      <c r="D61" s="63"/>
      <c r="E61" s="63"/>
      <c r="F61" s="64"/>
      <c r="G61" s="24">
        <f>(G59+G60)*'Fane 14. Nøgletal'!C29</f>
        <v>403001.51965890924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By3mGIJpypXVknrbqRoLaQhycrz5qZCQrgZeQW+NSaCW6t2/W2QOK5HNHw9ox3OyGIK29pS9HrxYTdpZbZ8Riw==" saltValue="xaeHWDzOAiVtG1IdKz35Pw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7109375" style="2" bestFit="1" customWidth="1"/>
    <col min="8" max="8" width="8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10494444.951740351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95499.4490608372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10580927.048976406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146527.44604555669</v>
      </c>
      <c r="H11" s="14" t="s">
        <v>3</v>
      </c>
      <c r="I11" s="1"/>
    </row>
    <row r="12" spans="1:9" x14ac:dyDescent="0.25">
      <c r="A12" s="1"/>
      <c r="B12" s="107" t="s">
        <v>68</v>
      </c>
      <c r="C12" s="108"/>
      <c r="D12" s="108"/>
      <c r="E12" s="108"/>
      <c r="F12" s="109"/>
      <c r="G12" s="51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189875.94456188875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10721986.175093126</v>
      </c>
      <c r="H17" s="14" t="s">
        <v>3</v>
      </c>
      <c r="I17" s="1"/>
    </row>
    <row r="18" spans="1:9" x14ac:dyDescent="0.25">
      <c r="A18" s="1"/>
      <c r="B18" s="107" t="s">
        <v>72</v>
      </c>
      <c r="C18" s="108"/>
      <c r="D18" s="108"/>
      <c r="E18" s="108"/>
      <c r="F18" s="109"/>
      <c r="G18" s="51">
        <v>0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189779.15529914832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10739691.498083919</v>
      </c>
      <c r="H23" s="14" t="s">
        <v>3</v>
      </c>
      <c r="I23" s="1"/>
    </row>
    <row r="24" spans="1:9" x14ac:dyDescent="0.25">
      <c r="A24" s="1"/>
      <c r="B24" s="107" t="s">
        <v>76</v>
      </c>
      <c r="C24" s="108"/>
      <c r="D24" s="108"/>
      <c r="E24" s="108"/>
      <c r="F24" s="109"/>
      <c r="G24" s="51">
        <v>0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305007.23854558333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10640247.539451241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51">
        <v>0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302183.03012041526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10372180.122211618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24">
        <f>SUM('Fane 2.1. Økonomisk ramme 2022'!C11,'Fane 2.1. Økonomisk ramme 2022'!C13,'Fane 2.1. Økonomisk ramme 2022'!C15)*(1+'Fane 14. Nøgletal'!C14)</f>
        <v>1195257.82367312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171198.08159909412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11433847.455837788</v>
      </c>
      <c r="H41" s="14" t="s">
        <v>3</v>
      </c>
      <c r="I41" s="1"/>
    </row>
    <row r="42" spans="1:9" x14ac:dyDescent="0.25">
      <c r="A42" s="1"/>
      <c r="B42" s="47" t="s">
        <v>242</v>
      </c>
      <c r="C42" s="63"/>
      <c r="D42" s="63"/>
      <c r="E42" s="63"/>
      <c r="F42" s="64"/>
      <c r="G42" s="24">
        <f>G36*(1+'Fane 14. Nøgletal'!C14)</f>
        <v>1199202.1744912413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51"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169220.94234639927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11301799.78098591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51"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167266.63675859148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11171277.10360327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51"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165334.90113332841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IBvEy47BnVqriY/9GfobYGAi8ZhCQZmiDhw87pe2zaI7bmp+MizbR1PJX3lrq0aoxQZ0L7WhertSDfOHD7RIIA==" saltValue="E6OQ3kZH794mcCe+vDStmw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1.5707076460596545E-3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0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0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1.0839770900167316E-3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6Yp0gcoBBsXshVjCS/LfBuvktWz/9RMK91wm+q9PqNNduZvqRO1Y6T4roecpH/TdPEt3YeuQcpV8Q/b/SmvAtQ==" saltValue="DZoRBBCyuzSiDakI5eCyJ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2021-09-14T08:07:42Z</dcterms:modified>
</cp:coreProperties>
</file>