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Lyngby-Taarbæk Spildevand AS (S064)\ØR2024\"/>
    </mc:Choice>
  </mc:AlternateContent>
  <xr:revisionPtr revIDLastSave="0" documentId="13_ncr:1_{6E676965-17DD-4142-84A0-75DAA7BDCD21}"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7" i="44"/>
  <c r="E25" i="44" l="1"/>
  <c r="E18" i="44"/>
  <c r="C9" i="2"/>
  <c r="E29" i="44" l="1"/>
  <c r="E31" i="44" s="1"/>
  <c r="J15" i="11"/>
  <c r="H15" i="11"/>
  <c r="F14" i="11"/>
  <c r="F13" i="11"/>
  <c r="F12" i="11"/>
  <c r="F11" i="11"/>
  <c r="F10" i="11"/>
  <c r="F15" i="11" s="1"/>
  <c r="C20" i="15" l="1"/>
  <c r="C32" i="2"/>
  <c r="E30" i="20"/>
  <c r="E29" i="20"/>
  <c r="E24" i="20"/>
  <c r="E23" i="20"/>
  <c r="E25" i="20" s="1"/>
  <c r="E31" i="20" l="1"/>
  <c r="G18" i="41"/>
  <c r="E17" i="20" l="1"/>
  <c r="E11" i="20"/>
  <c r="C22" i="23" l="1"/>
  <c r="C22" i="22"/>
  <c r="C22" i="15"/>
  <c r="C36" i="2"/>
  <c r="C13" i="29" l="1"/>
  <c r="C14" i="29" s="1"/>
  <c r="E13" i="29"/>
  <c r="E14" i="29" s="1"/>
  <c r="E13" i="39"/>
  <c r="E14" i="39" s="1"/>
  <c r="C13" i="39"/>
  <c r="C14" i="39" s="1"/>
  <c r="C20" i="19"/>
  <c r="C21" i="19" s="1"/>
  <c r="C16" i="23" l="1"/>
  <c r="C16" i="15"/>
  <c r="C16" i="22"/>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<sst xmlns="http://schemas.openxmlformats.org/spreadsheetml/2006/main" count="677" uniqueCount="297">
  <si>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</si>
  <si>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</si>
  <si>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</si>
  <si>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</si>
  <si>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</si>
  <si>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</si>
  <si>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</si>
  <si>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</si>
  <si>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</si>
  <si>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</si>
  <si>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</si>
  <si>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</si>
  <si>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</si>
  <si>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</si>
  <si>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</si>
  <si>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</si>
  <si>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</si>
  <si>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</si>
  <si>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</si>
  <si>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</si>
  <si>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</si>
  <si>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</si>
  <si>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</si>
  <si>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</si>
  <si>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</si>
  <si>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</si>
  <si>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</si>
  <si>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</si>
  <si>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</si>
  <si>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</si>
  <si>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</si>
  <si>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</si>
  <si>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</si>
  <si>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</si>
  <si>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</si>
  <si>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</si>
  <si>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</si>
  <si>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</si>
  <si>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</si>
  <si>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</si>
  <si>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</si>
  <si>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</si>
  <si>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</si>
  <si>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</si>
  <si>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</si>
  <si>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</si>
  <si>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</si>
  <si>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</si>
  <si>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</si>
  <si>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</si>
  <si>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</si>
  <si>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</si>
  <si>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</si>
  <si>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</si>
  <si>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</si>
  <si>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</si>
  <si>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</si>
  <si>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</si>
  <si>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</si>
  <si>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</si>
  <si>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</si>
  <si>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</si>
  <si>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</si>
  <si>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</si>
  <si>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</si>
  <si>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</si>
  <si>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</si>
  <si>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</si>
  <si>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</si>
  <si>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</si>
  <si>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</si>
  <si>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</si>
  <si>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</si>
  <si>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</si>
  <si>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</si>
  <si>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</si>
  <si>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</si>
  <si>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</si>
  <si>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</si>
  <si>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</si>
  <si>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</si>
  <si>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</si>
  <si>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</si>
  <si>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</si>
  <si>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</si>
  <si>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</si>
  <si>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</si>
  <si>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</si>
  <si>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</si>
  <si>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</si>
  <si>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</si>
  <si>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</si>
  <si>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</si>
  <si>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</si>
  <si>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</si>
  <si>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</si>
  <si>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</si>
  <si>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</si>
  <si>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</si>
  <si>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</si>
  <si>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</si>
  <si>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</si>
  <si>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</si>
  <si>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</si>
  <si>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</si>
  <si>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</si>
  <si>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</si>
  <si>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</si>
  <si>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</si>
  <si>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</si>
  <si>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</si>
  <si>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</si>
  <si>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</si>
  <si>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</si>
  <si>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</si>
  <si>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</si>
  <si>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</si>
  <si>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</si>
  <si>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</si>
  <si>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</si>
  <si>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</si>
  <si>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</si>
  <si>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</si>
  <si>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</si>
  <si>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</si>
  <si>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</si>
  <si>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</si>
  <si>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</si>
  <si>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</si>
  <si>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</si>
  <si>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</si>
  <si>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</si>
  <si>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</si>
  <si>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</si>
  <si>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</si>
  <si>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</si>
  <si>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</si>
  <si>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</si>
  <si>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</si>
  <si>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</si>
  <si>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</si>
  <si>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</si>
  <si>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</si>
  <si>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</si>
  <si>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</si>
  <si>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</si>
  <si>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</si>
  <si>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</si>
  <si>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</si>
  <si>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</si>
  <si>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</si>
  <si>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</si>
  <si>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</si>
  <si>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</si>
  <si>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</si>
  <si>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</si>
  <si>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</si>
  <si>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</si>
  <si>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</si>
  <si>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</si>
  <si>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</si>
  <si>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</si>
  <si>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</si>
  <si>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</si>
  <si>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</si>
  <si>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</si>
  <si>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</si>
  <si>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</si>
  <si>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</si>
  <si>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</si>
  <si>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</si>
  <si>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</si>
  <si>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</si>
  <si>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</si>
  <si>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</si>
  <si>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</si>
  <si>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</si>
  <si>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</si>
  <si>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</si>
  <si>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</si>
  <si>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</si>
  <si>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</si>
  <si>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</si>
  <si>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</si>
  <si>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</si>
  <si>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</si>
  <si>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</si>
  <si>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</si>
  <si>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</si>
  <si>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</si>
  <si>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</si>
  <si>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</si>
  <si>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</si>
  <si>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</si>
  <si>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</si>
  <si>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</si>
  <si>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</si>
  <si>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</si>
  <si>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</si>
  <si>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</si>
  <si>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</si>
  <si>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</si>
  <si>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</si>
  <si>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</si>
  <si>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</si>
  <si>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</si>
  <si>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</si>
  <si>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</si>
  <si>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</si>
  <si>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</si>
  <si>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</si>
  <si>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</si>
  <si>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</si>
  <si>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</si>
  <si>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</si>
  <si>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</si>
  <si>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</si>
  <si>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</si>
  <si>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</si>
  <si>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</si>
  <si>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</si>
  <si>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</si>
  <si>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</si>
  <si>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</si>
  <si>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</si>
  <si>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</si>
  <si>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</si>
  <si>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</si>
  <si>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</si>
  <si>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</si>
  <si>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</si>
  <si>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</si>
  <si>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</si>
  <si>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</si>
  <si>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</si>
  <si>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</si>
  <si>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</si>
  <si>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</si>
  <si>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</si>
  <si>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</si>
  <si>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</si>
  <si>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</si>
  <si>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</si>
  <si>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</si>
  <si>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</si>
  <si>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</si>
  <si>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</si>
  <si>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</si>
  <si>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</si>
  <si>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</si>
  <si>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</si>
  <si>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</si>
  <si>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</si>
  <si>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</si>
  <si>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</si>
  <si>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</si>
  <si>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</si>
  <si>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</si>
  <si>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</si>
  <si>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</si>
  <si>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</si>
  <si>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</si>
  <si>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</si>
  <si>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</si>
  <si>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</si>
  <si>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Brønde</t>
  </si>
  <si>
    <t>Kælder (7 - 20 m2)</t>
  </si>
  <si>
    <t>Værksteder, garager</t>
  </si>
  <si>
    <t>Ø 200 mm &lt; Ledningsnet ≤ Ø 500 mm</t>
  </si>
  <si>
    <t>Installationer "ingen eller faste riste" (mindre end 7 m2)</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</si>
  <si>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</si>
  <si>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</si>
  <si>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</si>
  <si>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</si>
  <si>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</si>
  <si>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</si>
  <si>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</si>
  <si>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</si>
  <si>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</si>
  <si>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</si>
  <si>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</si>
  <si>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</si>
  <si>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</si>
  <si>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</si>
  <si>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</si>
  <si>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</si>
  <si>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</si>
  <si>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</si>
  <si>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</si>
  <si>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</si>
  <si>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</si>
  <si>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Klampenborgvej, Vejmandspladsen (ANL405)</t>
  </si>
  <si>
    <t>Letbane (ANL392)</t>
  </si>
  <si>
    <t>Kloakstik 2022 (ANL410)</t>
  </si>
  <si>
    <t>Lundtoftegårdsvej (ANL409)</t>
  </si>
  <si>
    <t>Trongårdsområdet (ANL364)</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</si>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</sst>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252</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196</v>
      </c>
      <c r="E13" s="104"/>
      <c r="F13" s="104"/>
      <c r="G13" s="105"/>
      <c r="H13" s="5"/>
      <c r="I13" s="1"/>
    </row>
    <row r="14" spans="1:9" x14ac:dyDescent="0.25">
      <c r="A14" s="1"/>
      <c r="B14" s="1"/>
      <c r="C14" s="6" t="s">
        <v>16</v>
      </c>
      <c r="D14" s="88" t="s">
        <v>197</v>
      </c>
      <c r="E14" s="89"/>
      <c r="F14" s="89"/>
      <c r="G14" s="90"/>
      <c r="H14" s="5"/>
      <c r="I14" s="1"/>
    </row>
    <row r="15" spans="1:9" x14ac:dyDescent="0.25">
      <c r="A15" s="1"/>
      <c r="B15" s="1"/>
      <c r="C15" s="6" t="s">
        <v>31</v>
      </c>
      <c r="D15" s="88" t="s">
        <v>262</v>
      </c>
      <c r="E15" s="89"/>
      <c r="F15" s="89"/>
      <c r="G15" s="90"/>
      <c r="H15" s="5"/>
      <c r="I15" s="1"/>
    </row>
    <row r="16" spans="1:9" x14ac:dyDescent="0.25">
      <c r="A16" s="1"/>
      <c r="B16" s="1"/>
      <c r="C16" s="6" t="s">
        <v>32</v>
      </c>
      <c r="D16" s="88" t="s">
        <v>263</v>
      </c>
      <c r="E16" s="89"/>
      <c r="F16" s="89"/>
      <c r="G16" s="90"/>
      <c r="H16" s="5"/>
      <c r="I16" s="1"/>
    </row>
    <row r="17" spans="1:9" x14ac:dyDescent="0.25">
      <c r="A17" s="1"/>
      <c r="B17" s="1"/>
      <c r="C17" s="6" t="s">
        <v>101</v>
      </c>
      <c r="D17" s="88" t="s">
        <v>198</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199</v>
      </c>
      <c r="E22" s="96"/>
      <c r="F22" s="96"/>
      <c r="G22" s="97"/>
      <c r="H22" s="5"/>
      <c r="I22" s="1"/>
    </row>
    <row r="23" spans="1:9" x14ac:dyDescent="0.25">
      <c r="A23" s="1"/>
      <c r="B23" s="1"/>
      <c r="C23" s="6" t="s">
        <v>8</v>
      </c>
      <c r="D23" s="95" t="s">
        <v>181</v>
      </c>
      <c r="E23" s="96"/>
      <c r="F23" s="96"/>
      <c r="G23" s="97"/>
      <c r="H23" s="5"/>
      <c r="I23" s="1"/>
    </row>
    <row r="24" spans="1:9" x14ac:dyDescent="0.25">
      <c r="A24" s="1"/>
      <c r="B24" s="1"/>
      <c r="C24" s="6" t="s">
        <v>9</v>
      </c>
      <c r="D24" s="95" t="s">
        <v>200</v>
      </c>
      <c r="E24" s="96"/>
      <c r="F24" s="96"/>
      <c r="G24" s="97"/>
      <c r="H24" s="5"/>
      <c r="I24" s="1"/>
    </row>
    <row r="25" spans="1:9" x14ac:dyDescent="0.25">
      <c r="A25" s="1"/>
      <c r="B25" s="1"/>
      <c r="C25" s="6" t="s">
        <v>166</v>
      </c>
      <c r="D25" s="95" t="s">
        <v>160</v>
      </c>
      <c r="E25" s="96"/>
      <c r="F25" s="96"/>
      <c r="G25" s="97"/>
      <c r="H25" s="1"/>
      <c r="I25" s="1"/>
    </row>
    <row r="26" spans="1:9" x14ac:dyDescent="0.25">
      <c r="A26" s="1"/>
      <c r="B26" s="1"/>
      <c r="C26" s="6" t="s">
        <v>167</v>
      </c>
      <c r="D26" s="95" t="s">
        <v>72</v>
      </c>
      <c r="E26" s="96"/>
      <c r="F26" s="96"/>
      <c r="G26" s="97"/>
      <c r="H26" s="1"/>
      <c r="I26" s="1"/>
    </row>
    <row r="27" spans="1:9" x14ac:dyDescent="0.25">
      <c r="A27" s="1"/>
      <c r="B27" s="1"/>
      <c r="C27" s="6" t="s">
        <v>168</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169</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qE+0q9/zZYaIwEIeGfyfqS1XKTPY6r2XtuwUlJZqySU7sclHBIjEU9dSk1uxF7e54/Sx3wyUtn5utx2I1xjcTA==" saltValue="DVNTSyJTnnXkXQ3Qsy2Nd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80" t="s">
        <v>276</v>
      </c>
      <c r="C10" s="9">
        <v>122075</v>
      </c>
      <c r="D10" s="14" t="s">
        <v>3</v>
      </c>
      <c r="E10" s="1"/>
      <c r="F10" s="1"/>
    </row>
    <row r="11" spans="1:6" ht="26.25" x14ac:dyDescent="0.25">
      <c r="A11" s="1"/>
      <c r="B11" s="29" t="s">
        <v>277</v>
      </c>
      <c r="C11" s="9">
        <v>30847444.43</v>
      </c>
      <c r="D11" s="14" t="s">
        <v>3</v>
      </c>
      <c r="E11" s="1"/>
      <c r="F11" s="1"/>
    </row>
    <row r="12" spans="1:6" x14ac:dyDescent="0.25">
      <c r="A12" s="1"/>
      <c r="B12" s="80" t="s">
        <v>278</v>
      </c>
      <c r="C12" s="9">
        <v>339180.28</v>
      </c>
      <c r="D12" s="14" t="s">
        <v>3</v>
      </c>
      <c r="E12" s="1"/>
      <c r="F12" s="1"/>
    </row>
    <row r="13" spans="1:6" x14ac:dyDescent="0.25">
      <c r="A13" s="1"/>
      <c r="B13" s="80"/>
      <c r="C13" s="9"/>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31308699.710000001</v>
      </c>
      <c r="D20" s="13" t="s">
        <v>3</v>
      </c>
      <c r="E20" s="1"/>
      <c r="F20" s="1"/>
    </row>
    <row r="21" spans="1:6" x14ac:dyDescent="0.25">
      <c r="A21" s="1"/>
      <c r="B21" s="33" t="s">
        <v>227</v>
      </c>
      <c r="C21" s="12">
        <f>C20*(1+'Fane 15. Nøgletal'!C16)^2</f>
        <v>36572588.81241069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0" t="s">
        <v>109</v>
      </c>
      <c r="C25" s="9">
        <v>371800</v>
      </c>
      <c r="D25" s="14" t="s">
        <v>3</v>
      </c>
      <c r="E25" s="1"/>
      <c r="F25" s="1"/>
    </row>
    <row r="26" spans="1:6" x14ac:dyDescent="0.25">
      <c r="A26" s="1"/>
      <c r="B26" s="80" t="s">
        <v>123</v>
      </c>
      <c r="C26" s="9">
        <v>371800</v>
      </c>
      <c r="D26" s="14" t="s">
        <v>3</v>
      </c>
      <c r="E26" s="1"/>
      <c r="F26" s="1"/>
    </row>
    <row r="27" spans="1:6" x14ac:dyDescent="0.25">
      <c r="A27" s="1"/>
      <c r="B27" s="80" t="s">
        <v>142</v>
      </c>
      <c r="C27" s="9">
        <v>371800</v>
      </c>
      <c r="D27" s="14" t="s">
        <v>3</v>
      </c>
      <c r="E27" s="1"/>
      <c r="F27" s="1"/>
    </row>
    <row r="28" spans="1:6" x14ac:dyDescent="0.25">
      <c r="A28" s="1"/>
      <c r="B28" s="34" t="s">
        <v>261</v>
      </c>
      <c r="C28" s="9">
        <v>371800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xSC+dli1SIY4jT65pHX+iQ3NzJ15hpbkB17QRrK8bY8BcHEnan3Ev6vz/uW6Br+a9nrt6T4mwegUelkXEPpV+w==" saltValue="kFcJ9A/g6P2KCligvBFbp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8A64C-8B0D-455C-879A-F60B29D91FE0}">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279</v>
      </c>
      <c r="C9" s="120"/>
      <c r="D9" s="121"/>
      <c r="E9" s="9">
        <v>-6662528</v>
      </c>
      <c r="F9" s="14" t="s">
        <v>3</v>
      </c>
      <c r="G9" s="1"/>
    </row>
    <row r="10" spans="1:7" ht="15" customHeight="1" x14ac:dyDescent="0.25">
      <c r="A10" s="1"/>
      <c r="B10" s="119" t="s">
        <v>143</v>
      </c>
      <c r="C10" s="120"/>
      <c r="D10" s="121"/>
      <c r="E10" s="9">
        <v>-23720769</v>
      </c>
      <c r="F10" s="14" t="s">
        <v>3</v>
      </c>
      <c r="G10" s="1"/>
    </row>
    <row r="11" spans="1:7" ht="15" customHeight="1" x14ac:dyDescent="0.25">
      <c r="A11" s="1"/>
      <c r="B11" s="119" t="s">
        <v>280</v>
      </c>
      <c r="C11" s="120"/>
      <c r="D11" s="121"/>
      <c r="E11" s="9">
        <v>-14157333</v>
      </c>
      <c r="F11" s="14" t="s">
        <v>3</v>
      </c>
      <c r="G11" s="1"/>
    </row>
    <row r="12" spans="1:7" x14ac:dyDescent="0.25">
      <c r="A12" s="1"/>
      <c r="B12" s="33"/>
      <c r="C12" s="28"/>
      <c r="D12" s="28"/>
      <c r="E12" s="28"/>
      <c r="F12" s="19"/>
      <c r="G12" s="1"/>
    </row>
    <row r="13" spans="1:7" ht="42" customHeight="1" x14ac:dyDescent="0.25">
      <c r="A13" s="1"/>
      <c r="B13" s="113" t="s">
        <v>281</v>
      </c>
      <c r="C13" s="114"/>
      <c r="D13" s="114"/>
      <c r="E13" s="114"/>
      <c r="F13" s="115"/>
      <c r="G13" s="1"/>
    </row>
    <row r="14" spans="1:7" ht="15" customHeight="1" x14ac:dyDescent="0.25">
      <c r="A14" s="1"/>
      <c r="B14" s="1"/>
      <c r="C14" s="1"/>
      <c r="D14" s="1"/>
      <c r="E14" s="1"/>
      <c r="F14" s="1"/>
      <c r="G14" s="1"/>
    </row>
    <row r="15" spans="1:7" x14ac:dyDescent="0.25">
      <c r="A15" s="1"/>
      <c r="B15" s="74" t="s">
        <v>282</v>
      </c>
      <c r="C15" s="75"/>
      <c r="D15" s="75"/>
      <c r="E15" s="75"/>
      <c r="F15" s="76"/>
      <c r="G15" s="1"/>
    </row>
    <row r="16" spans="1:7" x14ac:dyDescent="0.25">
      <c r="A16" s="1"/>
      <c r="B16" s="77" t="s">
        <v>283</v>
      </c>
      <c r="C16" s="78"/>
      <c r="D16" s="79"/>
      <c r="E16" s="9">
        <f>IF(E11&lt;0,E11,0)</f>
        <v>-14157333</v>
      </c>
      <c r="F16" s="14" t="s">
        <v>3</v>
      </c>
      <c r="G16" s="1"/>
    </row>
    <row r="17" spans="1:7" x14ac:dyDescent="0.25">
      <c r="A17" s="1"/>
      <c r="B17" s="77" t="s">
        <v>284</v>
      </c>
      <c r="C17" s="78"/>
      <c r="D17" s="79"/>
      <c r="E17" s="9">
        <f>IF(SUM(E10)&gt;0,SUM(E10),0)</f>
        <v>0</v>
      </c>
      <c r="F17" s="14" t="s">
        <v>3</v>
      </c>
      <c r="G17" s="1"/>
    </row>
    <row r="18" spans="1:7" x14ac:dyDescent="0.25">
      <c r="A18" s="1"/>
      <c r="B18" s="81" t="s">
        <v>285</v>
      </c>
      <c r="C18" s="82"/>
      <c r="D18" s="83"/>
      <c r="E18" s="62">
        <f>IF(SUM(E16:E17)&gt;0,0,SUM(E16:E17))</f>
        <v>-14157333</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286</v>
      </c>
      <c r="C21" s="75"/>
      <c r="D21" s="75"/>
      <c r="E21" s="75"/>
      <c r="F21" s="76"/>
      <c r="G21" s="1"/>
    </row>
    <row r="22" spans="1:7" x14ac:dyDescent="0.25">
      <c r="A22" s="1"/>
      <c r="B22" s="77" t="s">
        <v>287</v>
      </c>
      <c r="C22" s="78"/>
      <c r="D22" s="79"/>
      <c r="E22" s="9">
        <v>76137241</v>
      </c>
      <c r="F22" s="14" t="s">
        <v>3</v>
      </c>
      <c r="G22" s="1"/>
    </row>
    <row r="23" spans="1:7" x14ac:dyDescent="0.25">
      <c r="A23" s="1"/>
      <c r="B23" s="77" t="s">
        <v>288</v>
      </c>
      <c r="C23" s="78"/>
      <c r="D23" s="79"/>
      <c r="E23" s="9">
        <v>73212487.579999998</v>
      </c>
      <c r="F23" s="14" t="s">
        <v>3</v>
      </c>
      <c r="G23" s="1"/>
    </row>
    <row r="24" spans="1:7" x14ac:dyDescent="0.25">
      <c r="A24" s="1"/>
      <c r="B24" s="77" t="s">
        <v>30</v>
      </c>
      <c r="C24" s="78"/>
      <c r="D24" s="79"/>
      <c r="E24" s="9">
        <v>0</v>
      </c>
      <c r="F24" s="14" t="s">
        <v>3</v>
      </c>
      <c r="G24" s="1"/>
    </row>
    <row r="25" spans="1:7" x14ac:dyDescent="0.25">
      <c r="A25" s="1"/>
      <c r="B25" s="81" t="s">
        <v>289</v>
      </c>
      <c r="C25" s="82"/>
      <c r="D25" s="83"/>
      <c r="E25" s="62">
        <f>E22-E23-E24</f>
        <v>2924753.4200000018</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290</v>
      </c>
      <c r="C28" s="117"/>
      <c r="D28" s="117"/>
      <c r="E28" s="117"/>
      <c r="F28" s="118"/>
      <c r="G28" s="1"/>
    </row>
    <row r="29" spans="1:7" x14ac:dyDescent="0.25">
      <c r="A29" s="1"/>
      <c r="B29" s="131" t="s">
        <v>116</v>
      </c>
      <c r="C29" s="132"/>
      <c r="D29" s="133"/>
      <c r="E29" s="9">
        <f>IF(E18&lt;0,IF(E25&lt;0,SUM(E18,E25),IF(E10&gt;0,SUM(E10:E11),E18)),IF(AND(E25&lt;0,SUM(E25,E11)&lt;0),IF(E11&lt;0,E25,IF(SUM(E10:E11)&gt;0,SUM(E25,E11),IF(AND(E25&lt;0,E18=0,E11&gt;0),IF(SUM(E9:E11)&gt;0,E25+E11,E25)))),0))</f>
        <v>-14157333</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-7078666.5</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yqhTSzG3LRcgBr1kVMuTkixI8PWHaOZb37q8Nfp0M5BRUExKNwGrEUimLva52jIT4wQkgREL39uHkKeyQfxkAA==" saltValue="1Bu9EsqXcJauPne1FwTqL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O9/dG1Vo7sFYuKTBzGN9dEvXx+TDrXBvJRJcvoOFmF9wcxhb1sZj7piEi+auVjtv0skKsNKKnYmOiyO7y08KXA==" saltValue="7hf54PtLgpEveQM2K1rEp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13" t="s">
        <v>82</v>
      </c>
      <c r="C10" s="114"/>
      <c r="D10" s="115"/>
      <c r="E10" s="7">
        <v>0</v>
      </c>
      <c r="F10" s="8" t="s">
        <v>3</v>
      </c>
      <c r="G10" s="1"/>
    </row>
    <row r="11" spans="1:7" x14ac:dyDescent="0.25">
      <c r="A11" s="1"/>
      <c r="B11" s="119" t="s">
        <v>229</v>
      </c>
      <c r="C11" s="120"/>
      <c r="D11" s="121"/>
      <c r="E11" s="7">
        <v>0</v>
      </c>
      <c r="F11" s="8" t="s">
        <v>3</v>
      </c>
      <c r="G11" s="1"/>
    </row>
    <row r="12" spans="1:7" x14ac:dyDescent="0.25">
      <c r="A12" s="1"/>
      <c r="B12" s="134" t="s">
        <v>83</v>
      </c>
      <c r="C12" s="135"/>
      <c r="D12" s="136"/>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371800</v>
      </c>
      <c r="F14" s="8" t="s">
        <v>3</v>
      </c>
      <c r="G14" s="1"/>
    </row>
    <row r="15" spans="1:7" x14ac:dyDescent="0.25">
      <c r="A15" s="1"/>
      <c r="B15" s="113" t="s">
        <v>231</v>
      </c>
      <c r="C15" s="114"/>
      <c r="D15" s="115"/>
      <c r="E15" s="7">
        <v>0</v>
      </c>
      <c r="F15" s="8" t="s">
        <v>3</v>
      </c>
      <c r="G15" s="1"/>
    </row>
    <row r="16" spans="1:7" x14ac:dyDescent="0.25">
      <c r="A16" s="1"/>
      <c r="B16" s="134" t="s">
        <v>83</v>
      </c>
      <c r="C16" s="135"/>
      <c r="D16" s="136"/>
      <c r="E16" s="10">
        <f>E15-E14</f>
        <v>-371800</v>
      </c>
      <c r="F16" s="11" t="s">
        <v>3</v>
      </c>
      <c r="G16" s="1"/>
    </row>
    <row r="17" spans="1:7" x14ac:dyDescent="0.25">
      <c r="A17" s="1"/>
      <c r="B17" s="33" t="s">
        <v>232</v>
      </c>
      <c r="C17" s="28"/>
      <c r="D17" s="28"/>
      <c r="E17" s="12">
        <f>E12+E16</f>
        <v>-371800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SF3IRuT0bGkE/9zif7UWYH0GWjIR6RJwvyiGgAalKYbBCLSZcK8FNHArCtuDnM9nBG0nOsh54QYm9AapSfRlg==" saltValue="jmK8Slvmk49rmcRUOXcb9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8"/>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v>75</v>
      </c>
      <c r="D10" s="9">
        <v>22414</v>
      </c>
      <c r="E10" s="14" t="s">
        <v>3</v>
      </c>
      <c r="F10" s="9">
        <f t="shared" ref="F10:F14" si="0">IFERROR(D10/C10,0)</f>
        <v>298.85333333333335</v>
      </c>
      <c r="G10" s="14" t="s">
        <v>3</v>
      </c>
      <c r="H10" s="41">
        <v>0</v>
      </c>
      <c r="I10" s="14" t="s">
        <v>3</v>
      </c>
      <c r="J10" s="41">
        <v>1233</v>
      </c>
      <c r="K10" s="14" t="s">
        <v>3</v>
      </c>
      <c r="L10" s="1"/>
    </row>
    <row r="11" spans="1:12" x14ac:dyDescent="0.25">
      <c r="A11" s="1"/>
      <c r="B11" s="84" t="s">
        <v>266</v>
      </c>
      <c r="C11" s="45">
        <v>75</v>
      </c>
      <c r="D11" s="9">
        <v>358626</v>
      </c>
      <c r="E11" s="14" t="s">
        <v>3</v>
      </c>
      <c r="F11" s="9">
        <f t="shared" si="0"/>
        <v>4781.68</v>
      </c>
      <c r="G11" s="14" t="s">
        <v>3</v>
      </c>
      <c r="H11" s="41">
        <v>0</v>
      </c>
      <c r="I11" s="14" t="s">
        <v>3</v>
      </c>
      <c r="J11" s="41">
        <v>19724</v>
      </c>
      <c r="K11" s="14" t="s">
        <v>3</v>
      </c>
      <c r="L11" s="1"/>
    </row>
    <row r="12" spans="1:12" x14ac:dyDescent="0.25">
      <c r="A12" s="1"/>
      <c r="B12" s="84" t="s">
        <v>267</v>
      </c>
      <c r="C12" s="45">
        <v>75</v>
      </c>
      <c r="D12" s="9">
        <v>4483</v>
      </c>
      <c r="E12" s="14" t="s">
        <v>3</v>
      </c>
      <c r="F12" s="9">
        <f t="shared" si="0"/>
        <v>59.773333333333333</v>
      </c>
      <c r="G12" s="14" t="s">
        <v>3</v>
      </c>
      <c r="H12" s="41">
        <v>0</v>
      </c>
      <c r="I12" s="14" t="s">
        <v>3</v>
      </c>
      <c r="J12" s="41">
        <v>247</v>
      </c>
      <c r="K12" s="14" t="s">
        <v>3</v>
      </c>
      <c r="L12" s="1"/>
    </row>
    <row r="13" spans="1:12" ht="26.25" x14ac:dyDescent="0.25">
      <c r="A13" s="1"/>
      <c r="B13" s="84" t="s">
        <v>268</v>
      </c>
      <c r="C13" s="45">
        <v>75</v>
      </c>
      <c r="D13" s="9">
        <v>17932</v>
      </c>
      <c r="E13" s="14" t="s">
        <v>3</v>
      </c>
      <c r="F13" s="9">
        <f t="shared" si="0"/>
        <v>239.09333333333333</v>
      </c>
      <c r="G13" s="14" t="s">
        <v>3</v>
      </c>
      <c r="H13" s="41">
        <v>0</v>
      </c>
      <c r="I13" s="14" t="s">
        <v>3</v>
      </c>
      <c r="J13" s="41">
        <v>986</v>
      </c>
      <c r="K13" s="14" t="s">
        <v>3</v>
      </c>
      <c r="L13" s="1"/>
    </row>
    <row r="14" spans="1:12" ht="39" x14ac:dyDescent="0.25">
      <c r="A14" s="1"/>
      <c r="B14" s="84" t="s">
        <v>269</v>
      </c>
      <c r="C14" s="45">
        <v>20</v>
      </c>
      <c r="D14" s="9">
        <v>44828</v>
      </c>
      <c r="E14" s="14" t="s">
        <v>3</v>
      </c>
      <c r="F14" s="9">
        <f t="shared" si="0"/>
        <v>2241.4</v>
      </c>
      <c r="G14" s="14" t="s">
        <v>3</v>
      </c>
      <c r="H14" s="41">
        <v>0</v>
      </c>
      <c r="I14" s="14" t="s">
        <v>3</v>
      </c>
      <c r="J14" s="41">
        <v>2466</v>
      </c>
      <c r="K14" s="14" t="s">
        <v>3</v>
      </c>
      <c r="L14" s="1"/>
    </row>
    <row r="15" spans="1:12" x14ac:dyDescent="0.25">
      <c r="A15" s="1"/>
      <c r="B15" s="74" t="s">
        <v>150</v>
      </c>
      <c r="C15" s="75"/>
      <c r="D15" s="76"/>
      <c r="E15" s="76"/>
      <c r="F15" s="12">
        <f>SUM(F10:F14)</f>
        <v>7620.8000000000011</v>
      </c>
      <c r="G15" s="12" t="s">
        <v>163</v>
      </c>
      <c r="H15" s="12">
        <f>SUM(H10:H14)</f>
        <v>0</v>
      </c>
      <c r="I15" s="12" t="s">
        <v>163</v>
      </c>
      <c r="J15" s="12">
        <f>SUM(J10:J14)</f>
        <v>24656</v>
      </c>
      <c r="K15" s="13" t="s">
        <v>3</v>
      </c>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48"/>
      <c r="B47" s="48"/>
      <c r="C47" s="48"/>
      <c r="D47" s="48"/>
      <c r="E47" s="48"/>
      <c r="F47" s="48"/>
      <c r="G47" s="48"/>
      <c r="H47" s="48"/>
      <c r="I47" s="48"/>
      <c r="J47" s="48"/>
      <c r="K47" s="48"/>
      <c r="L47" s="48"/>
    </row>
    <row r="48" spans="1:12" x14ac:dyDescent="0.25">
      <c r="A48" s="48"/>
      <c r="B48" s="48"/>
      <c r="C48" s="48"/>
      <c r="D48" s="48"/>
      <c r="E48" s="48"/>
      <c r="F48" s="48"/>
      <c r="G48" s="48"/>
      <c r="H48" s="48"/>
      <c r="I48" s="48"/>
      <c r="J48" s="48"/>
      <c r="K48" s="48"/>
      <c r="L48" s="48"/>
    </row>
  </sheetData>
  <sheetProtection algorithmName="SHA-512" hashValue="2yDTExUXbHHQssoIQgPxTGQ4XJ9lhTV/IqCsj4nIQrpMGjlueypS2TddW7CxQuiRJAN2WkDTfU8aX5Srob7P4Q==" saltValue="27pcfg4u1nFOKJ4unO75v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19)'!H15</f>
        <v>0</v>
      </c>
      <c r="D10" s="14" t="s">
        <v>3</v>
      </c>
      <c r="E10" s="9">
        <f>SUM('Fane 10. Anlægsprojekter (§ 19)'!F15,'Fane 10. Anlægsprojekter (§ 19)'!J15)</f>
        <v>32276.800000000003</v>
      </c>
      <c r="F10" s="14" t="s">
        <v>3</v>
      </c>
      <c r="G10" s="1"/>
    </row>
    <row r="11" spans="1:7" x14ac:dyDescent="0.25">
      <c r="A11" s="1"/>
      <c r="B11" s="24" t="s">
        <v>291</v>
      </c>
      <c r="C11" s="21">
        <v>0</v>
      </c>
      <c r="D11" s="14" t="s">
        <v>3</v>
      </c>
      <c r="E11" s="9">
        <v>16901</v>
      </c>
      <c r="F11" s="14" t="s">
        <v>3</v>
      </c>
      <c r="G11" s="1"/>
    </row>
    <row r="12" spans="1:7" x14ac:dyDescent="0.25">
      <c r="A12" s="1"/>
      <c r="B12" s="24" t="s">
        <v>292</v>
      </c>
      <c r="C12" s="21">
        <v>0</v>
      </c>
      <c r="D12" s="14" t="s">
        <v>3</v>
      </c>
      <c r="E12" s="9">
        <v>1570581</v>
      </c>
      <c r="F12" s="14" t="s">
        <v>3</v>
      </c>
      <c r="G12" s="1"/>
    </row>
    <row r="13" spans="1:7" x14ac:dyDescent="0.25">
      <c r="A13" s="1"/>
      <c r="B13" s="24" t="s">
        <v>293</v>
      </c>
      <c r="C13" s="21">
        <v>75351</v>
      </c>
      <c r="D13" s="14" t="s">
        <v>3</v>
      </c>
      <c r="E13" s="9">
        <v>36412</v>
      </c>
      <c r="F13" s="14" t="s">
        <v>3</v>
      </c>
      <c r="G13" s="1"/>
    </row>
    <row r="14" spans="1:7" x14ac:dyDescent="0.25">
      <c r="A14" s="1"/>
      <c r="B14" s="24" t="s">
        <v>294</v>
      </c>
      <c r="C14" s="21">
        <v>0</v>
      </c>
      <c r="D14" s="14" t="s">
        <v>3</v>
      </c>
      <c r="E14" s="9">
        <v>3939854</v>
      </c>
      <c r="F14" s="14" t="s">
        <v>3</v>
      </c>
      <c r="G14" s="1"/>
    </row>
    <row r="15" spans="1:7" x14ac:dyDescent="0.25">
      <c r="A15" s="1"/>
      <c r="B15" s="24" t="s">
        <v>295</v>
      </c>
      <c r="C15" s="21">
        <v>0</v>
      </c>
      <c r="D15" s="14" t="s">
        <v>3</v>
      </c>
      <c r="E15" s="9">
        <v>229061</v>
      </c>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75351</v>
      </c>
      <c r="D19" s="13" t="s">
        <v>3</v>
      </c>
      <c r="E19" s="12">
        <f>SUM(E10:E18)</f>
        <v>5825085.7999999998</v>
      </c>
      <c r="F19" s="13" t="s">
        <v>3</v>
      </c>
      <c r="G19" s="1"/>
    </row>
    <row r="20" spans="1:7" x14ac:dyDescent="0.25">
      <c r="A20" s="1"/>
      <c r="B20" s="33" t="s">
        <v>233</v>
      </c>
      <c r="C20" s="12">
        <f>C19*(1+'Fane 15. Nøgletal'!C16)</f>
        <v>81439.360799999995</v>
      </c>
      <c r="D20" s="13" t="s">
        <v>3</v>
      </c>
      <c r="E20" s="12">
        <f>E19*(1+'Fane 15. Nøgletal'!C16)</f>
        <v>6295752.7326400001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nDPBV+imoKhAmMQ3UNbYHLlcNEFcfChZSkytZzx+M+kNZ3SnZPkldfL/KSKh5mwdW837nqPz8fknRa+fjRuQ==" saltValue="K+9zTHcYTMtD4B/vRyoxb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260</v>
      </c>
      <c r="C8" s="117"/>
      <c r="D8" s="117"/>
      <c r="E8" s="117"/>
      <c r="F8" s="118"/>
      <c r="G8" s="1"/>
    </row>
    <row r="9" spans="1:7" x14ac:dyDescent="0.25">
      <c r="A9" s="1"/>
      <c r="B9" s="85" t="s">
        <v>17</v>
      </c>
      <c r="C9" s="85" t="s">
        <v>11</v>
      </c>
      <c r="D9" s="86"/>
      <c r="E9" s="85" t="s">
        <v>28</v>
      </c>
      <c r="F9" s="32"/>
      <c r="G9" s="1"/>
    </row>
    <row r="10" spans="1:7" x14ac:dyDescent="0.25">
      <c r="A10" s="1"/>
      <c r="B10" s="24" t="s">
        <v>296</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3zJgqU0a90/cJL8ybq8DdCA/jeF19yio5Oh+dLNBUkcbjYnW1m1QsBJGFoJPr0soHDLDOHlQ6d3SE1aomNy/Q==" saltValue="D3erGlWR3cZ1cfvD9kDiJ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6" t="s">
        <v>238</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fCqdxBddocOBwFbITFN3FwdRM4J1dR4Ua7T1WZmwDbCFyW0llbr4vDg5F1mohJpRiA5DYKOhz2depGHvadD5w==" saltValue="LqKTZK3TPJ/WGsFznDbJS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1" t="s">
        <v>273</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7ugGVpQLwmyeGOh2oGTftCi9Jz1mD5/P8AmpaDM+sCqo/kFdUK7RHrg9fjQKWIn/E+pRr3QfeMiH6zNeLINMZg==" saltValue="Ji6kPMwH9vNGVR1stf4iP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71" t="s">
        <v>274</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Xe9MeSj5VVXDRZOpBnUtg4oMTh2NRJlllkSwEKbCnLj3jWLYo2tgEGNA2O5LuU6kyBH57MUx5Wblqnde6kMKw==" saltValue="AIJ5ENuPFSpIQSdRGJ8MW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66472947.010388918</v>
      </c>
      <c r="D9" s="8" t="s">
        <v>3</v>
      </c>
      <c r="E9" s="1"/>
    </row>
    <row r="10" spans="1:5" ht="17.25" customHeight="1" x14ac:dyDescent="0.25">
      <c r="A10" s="1"/>
      <c r="B10" s="87" t="s">
        <v>36</v>
      </c>
      <c r="C10" s="7">
        <f>'Fane 11.1. Varige tillæg'!C20</f>
        <v>81439.360799999995</v>
      </c>
      <c r="D10" s="8" t="s">
        <v>3</v>
      </c>
      <c r="E10" s="1"/>
    </row>
    <row r="11" spans="1:5" ht="17.25" customHeight="1" x14ac:dyDescent="0.25">
      <c r="A11" s="1"/>
      <c r="B11" s="87" t="s">
        <v>37</v>
      </c>
      <c r="C11" s="9">
        <f>'Fane 11.1. Varige tillæg'!E20</f>
        <v>6295752.7326400001</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5886291.2395893764</v>
      </c>
      <c r="D16" s="8" t="s">
        <v>3</v>
      </c>
      <c r="E16" s="1"/>
    </row>
    <row r="17" spans="1:5" ht="17.25" customHeight="1" x14ac:dyDescent="0.25">
      <c r="A17" s="1"/>
      <c r="B17" s="87" t="s">
        <v>10</v>
      </c>
      <c r="C17" s="41">
        <f>-SUM(C9,C10:C16)*'Fane 5. Individuelt eff. krav'!G9</f>
        <v>-1574728.606868366</v>
      </c>
      <c r="D17" s="8" t="s">
        <v>3</v>
      </c>
      <c r="E17" s="1"/>
    </row>
    <row r="18" spans="1:5" ht="17.25" customHeight="1" x14ac:dyDescent="0.25">
      <c r="A18" s="1"/>
      <c r="B18" s="87" t="s">
        <v>23</v>
      </c>
      <c r="C18" s="41">
        <f>-'Fane 4.1. Gen. krav - drift'!G54</f>
        <v>-271142.33648307552</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76890559.400066853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36944388.81241069</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0</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0</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-7078666.5</v>
      </c>
      <c r="D32" s="11" t="s">
        <v>3</v>
      </c>
      <c r="E32" s="1"/>
    </row>
    <row r="33" spans="1:5" ht="15" customHeight="1" x14ac:dyDescent="0.25">
      <c r="A33" s="1"/>
      <c r="B33" s="33" t="s">
        <v>200</v>
      </c>
      <c r="C33" s="28"/>
      <c r="D33" s="19"/>
      <c r="E33" s="1"/>
    </row>
    <row r="34" spans="1:5" x14ac:dyDescent="0.25">
      <c r="A34" s="1"/>
      <c r="B34" s="31" t="s">
        <v>200</v>
      </c>
      <c r="C34" s="10">
        <f>'Fane 9. Korrektion af ØR2022'!E17</f>
        <v>-371800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106384481.71247754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PfH1dRu1LnFxb93d6s1Ka/jeXebgrennM44WD7FBngNsQQaRUy5rKL2CvyvOw87Mi6ep4F6K91iSnNORiDYIgA==" saltValue="LsidAJVuEzAoq3hDDVkiI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eFRF+J3pIhwAPFGgPgnudgnC7qx8poaY94mRq/DVzgRQmTty29B03AphTwiY7T9X/61DMHxxW50qJlLw5RwlEg==" saltValue="pqQHOtfo/9fdzhIJtEt70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76890559.400066853</v>
      </c>
      <c r="D9" s="8" t="s">
        <v>3</v>
      </c>
      <c r="E9" s="1"/>
    </row>
    <row r="10" spans="1:5" ht="15" customHeight="1" x14ac:dyDescent="0.25">
      <c r="A10" s="1"/>
      <c r="B10" s="26" t="s">
        <v>19</v>
      </c>
      <c r="C10" s="7">
        <f>SUM(C9:C9)*'Fane 15. Nøgletal'!C16</f>
        <v>6212757.199525401</v>
      </c>
      <c r="D10" s="8" t="s">
        <v>3</v>
      </c>
      <c r="E10" s="1"/>
    </row>
    <row r="11" spans="1:5" ht="15" customHeight="1" x14ac:dyDescent="0.25">
      <c r="A11" s="1"/>
      <c r="B11" s="26" t="s">
        <v>10</v>
      </c>
      <c r="C11" s="9">
        <f>-SUM(C9:C10)*'Fane 5. Individuelt eff. krav'!G9</f>
        <v>-1662066.331991845</v>
      </c>
      <c r="D11" s="8" t="s">
        <v>3</v>
      </c>
      <c r="E11" s="1"/>
    </row>
    <row r="12" spans="1:5" ht="15" customHeight="1" x14ac:dyDescent="0.25">
      <c r="A12" s="1"/>
      <c r="B12" s="26" t="s">
        <v>23</v>
      </c>
      <c r="C12" s="9">
        <f>-'Fane 4.1. Gen. krav - drift'!G59</f>
        <v>-287189.62452548987</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81154060.643074915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39899453.98845347</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-7078666.5</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113974848.13152838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BQd1iCe1c58MQTvpLA1WCxqFylm4X1RrjCs6yk3LU/xHNbSWRbALgXwi48z1mR3rH/HzpcETrYTLqYqFSM/DQ==" saltValue="UbAGQR4EJ1CJeoVPdRdqc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81154060.643074915</v>
      </c>
      <c r="D9" s="8" t="s">
        <v>3</v>
      </c>
      <c r="E9" s="1"/>
    </row>
    <row r="10" spans="1:5" ht="15" customHeight="1" x14ac:dyDescent="0.25">
      <c r="A10" s="1"/>
      <c r="B10" s="26" t="s">
        <v>19</v>
      </c>
      <c r="C10" s="7">
        <f>SUM(C9:C9)*'Fane 15. Nøgletal'!C16</f>
        <v>6557248.0999604529</v>
      </c>
      <c r="D10" s="8" t="s">
        <v>3</v>
      </c>
      <c r="E10" s="1"/>
    </row>
    <row r="11" spans="1:5" ht="15" customHeight="1" x14ac:dyDescent="0.25">
      <c r="A11" s="1"/>
      <c r="B11" s="26" t="s">
        <v>10</v>
      </c>
      <c r="C11" s="9">
        <f>-SUM(C9:C10)*'Fane 5. Individuelt eff. krav'!G9</f>
        <v>-1754226.1748607073</v>
      </c>
      <c r="D11" s="8" t="s">
        <v>3</v>
      </c>
      <c r="E11" s="1"/>
    </row>
    <row r="12" spans="1:5" ht="15" customHeight="1" x14ac:dyDescent="0.25">
      <c r="A12" s="1"/>
      <c r="B12" s="26" t="s">
        <v>23</v>
      </c>
      <c r="C12" s="9">
        <f>-'Fane 4.1. Gen. krav - drift'!G64</f>
        <v>-304186.65526340652</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85652895.912911251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43093288.430720516</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128746184.34363177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b3RliFV0WbrY0Xy/+tx6oJiLdIZv2upLMeAzhu+UlzrjuDX5m3BzA4UUjm08OR5ESLTPmkVezjae1VzwwDPNw==" saltValue="xdmsIaWnH/J5Vbe8xjSHS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85652895.912911251</v>
      </c>
      <c r="D9" s="8" t="s">
        <v>3</v>
      </c>
      <c r="E9" s="1"/>
      <c r="F9" s="1"/>
    </row>
    <row r="10" spans="1:6" ht="15" customHeight="1" x14ac:dyDescent="0.25">
      <c r="A10" s="1"/>
      <c r="B10" s="26" t="s">
        <v>19</v>
      </c>
      <c r="C10" s="7">
        <f>SUM(C9:C9)*'Fane 15. Nøgletal'!C16</f>
        <v>6920753.9897632292</v>
      </c>
      <c r="D10" s="8" t="s">
        <v>3</v>
      </c>
      <c r="E10" s="1"/>
      <c r="F10" s="1"/>
    </row>
    <row r="11" spans="1:6" ht="15" customHeight="1" x14ac:dyDescent="0.25">
      <c r="A11" s="1"/>
      <c r="B11" s="26" t="s">
        <v>10</v>
      </c>
      <c r="C11" s="9">
        <f>-SUM(C9:C10)*'Fane 5. Individuelt eff. krav'!G9</f>
        <v>-1851472.9980534897</v>
      </c>
      <c r="D11" s="8" t="s">
        <v>3</v>
      </c>
      <c r="E11" s="1"/>
      <c r="F11" s="1"/>
    </row>
    <row r="12" spans="1:6" ht="15" customHeight="1" x14ac:dyDescent="0.25">
      <c r="A12" s="1"/>
      <c r="B12" s="26" t="s">
        <v>23</v>
      </c>
      <c r="C12" s="9">
        <f>-'Fane 4.1. Gen. krav - drift'!G69</f>
        <v>-322189.63826851593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90399987.266352475</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46545184.695922725</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136945171.96227521</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DiAgv1oApqMJeytSY50UnkD3+tnZoGO/3NYjGVPvABE60hYLJs7eeSKRmP/nsNhxH2x2zOIJDWESoPY+OUI4pQ==" saltValue="6ABPs3mZZ39GK8mWEZHjx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56318506.495644614</v>
      </c>
      <c r="D9" s="8" t="s">
        <v>3</v>
      </c>
      <c r="E9" s="1"/>
    </row>
    <row r="10" spans="1:5" x14ac:dyDescent="0.25">
      <c r="A10" s="1"/>
      <c r="B10" s="87" t="s">
        <v>36</v>
      </c>
      <c r="C10" s="7">
        <v>102496.4388</v>
      </c>
      <c r="D10" s="8" t="s">
        <v>3</v>
      </c>
      <c r="E10" s="1"/>
    </row>
    <row r="11" spans="1:5" x14ac:dyDescent="0.25">
      <c r="A11" s="1"/>
      <c r="B11" s="87" t="s">
        <v>37</v>
      </c>
      <c r="C11" s="9">
        <v>11776215.909464002</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608733.23103382566</v>
      </c>
      <c r="D16" s="8" t="s">
        <v>3</v>
      </c>
      <c r="E16" s="1"/>
    </row>
    <row r="17" spans="1:5" x14ac:dyDescent="0.25">
      <c r="A17" s="1"/>
      <c r="B17" s="87" t="s">
        <v>10</v>
      </c>
      <c r="C17" s="41">
        <v>-1376119.0414988489</v>
      </c>
      <c r="D17" s="8" t="s">
        <v>3</v>
      </c>
      <c r="E17" s="1"/>
    </row>
    <row r="18" spans="1:5" x14ac:dyDescent="0.25">
      <c r="A18" s="1"/>
      <c r="B18" s="87" t="s">
        <v>23</v>
      </c>
      <c r="C18" s="41">
        <v>-254329.69461398845</v>
      </c>
      <c r="D18" s="8" t="s">
        <v>3</v>
      </c>
      <c r="E18" s="1"/>
    </row>
    <row r="19" spans="1:5" x14ac:dyDescent="0.25">
      <c r="A19" s="1"/>
      <c r="B19" s="87" t="s">
        <v>24</v>
      </c>
      <c r="C19" s="41">
        <v>-702556.32844067062</v>
      </c>
      <c r="D19" s="8" t="s">
        <v>3</v>
      </c>
      <c r="E19" s="47"/>
    </row>
    <row r="20" spans="1:5" x14ac:dyDescent="0.25">
      <c r="A20" s="1"/>
      <c r="B20" s="81" t="s">
        <v>21</v>
      </c>
      <c r="C20" s="10">
        <v>66472947.010388918</v>
      </c>
      <c r="D20" s="11" t="s">
        <v>3</v>
      </c>
      <c r="E20" s="1"/>
    </row>
    <row r="21" spans="1:5" x14ac:dyDescent="0.25">
      <c r="A21" s="1"/>
      <c r="B21" s="33" t="s">
        <v>12</v>
      </c>
      <c r="C21" s="28"/>
      <c r="D21" s="19"/>
      <c r="E21" s="1"/>
    </row>
    <row r="22" spans="1:5" x14ac:dyDescent="0.25">
      <c r="A22" s="1"/>
      <c r="B22" s="31" t="s">
        <v>12</v>
      </c>
      <c r="C22" s="10">
        <v>38391441.421502084</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69">
        <v>0</v>
      </c>
      <c r="D26" s="8" t="s">
        <v>3</v>
      </c>
      <c r="E26" s="1"/>
    </row>
    <row r="27" spans="1:5" x14ac:dyDescent="0.25">
      <c r="A27" s="1"/>
      <c r="B27" s="87" t="s">
        <v>70</v>
      </c>
      <c r="C27" s="69">
        <v>0</v>
      </c>
      <c r="D27" s="8" t="s">
        <v>3</v>
      </c>
      <c r="E27" s="1"/>
    </row>
    <row r="28" spans="1:5" x14ac:dyDescent="0.25">
      <c r="A28" s="1"/>
      <c r="B28" s="87" t="s">
        <v>161</v>
      </c>
      <c r="C28" s="69">
        <v>0</v>
      </c>
      <c r="D28" s="8" t="s">
        <v>3</v>
      </c>
      <c r="E28" s="1"/>
    </row>
    <row r="29" spans="1:5" x14ac:dyDescent="0.25">
      <c r="A29" s="1"/>
      <c r="B29" s="87"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-15191648.34546186</v>
      </c>
      <c r="D32" s="11" t="s">
        <v>3</v>
      </c>
      <c r="E32" s="1"/>
    </row>
    <row r="33" spans="1:5" x14ac:dyDescent="0.25">
      <c r="A33" s="1"/>
      <c r="B33" s="33" t="s">
        <v>270</v>
      </c>
      <c r="C33" s="28"/>
      <c r="D33" s="19"/>
      <c r="E33" s="1"/>
    </row>
    <row r="34" spans="1:5" x14ac:dyDescent="0.25">
      <c r="A34" s="1"/>
      <c r="B34" s="31" t="s">
        <v>270</v>
      </c>
      <c r="C34" s="10">
        <v>-1048876</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271</v>
      </c>
      <c r="C37" s="49">
        <v>88623864.086429149</v>
      </c>
      <c r="D37" s="30" t="s">
        <v>3</v>
      </c>
      <c r="E37" s="1"/>
    </row>
    <row r="38" spans="1:5" ht="30" customHeight="1" x14ac:dyDescent="0.25">
      <c r="A38" s="1"/>
      <c r="B38" s="111" t="s">
        <v>272</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9Rswvh0Jk+9VPRxmN9/Ltsd0bvAcTmINNYE5jQKPC2Ed2EvLo2G4rrgsppxmWmjFHxrxXyQZ0e1fv4iM2GYjA==" saltValue="Np+LpztE5TQ9K3mj9zTN2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6" t="s">
        <v>46</v>
      </c>
      <c r="C4" s="117"/>
      <c r="D4" s="117"/>
      <c r="E4" s="117"/>
      <c r="F4" s="117"/>
      <c r="G4" s="117"/>
      <c r="H4" s="118"/>
      <c r="I4" s="1"/>
    </row>
    <row r="5" spans="1:9" x14ac:dyDescent="0.25">
      <c r="A5" s="1"/>
      <c r="B5" s="119" t="s">
        <v>38</v>
      </c>
      <c r="C5" s="120"/>
      <c r="D5" s="120"/>
      <c r="E5" s="120"/>
      <c r="F5" s="121"/>
      <c r="G5" s="63">
        <v>13024824.541591074</v>
      </c>
      <c r="H5" s="14" t="s">
        <v>3</v>
      </c>
      <c r="I5" s="1"/>
    </row>
    <row r="6" spans="1:9" x14ac:dyDescent="0.25">
      <c r="A6" s="1"/>
      <c r="B6" s="113" t="s">
        <v>102</v>
      </c>
      <c r="C6" s="114"/>
      <c r="D6" s="114"/>
      <c r="E6" s="114"/>
      <c r="F6" s="115"/>
      <c r="G6" s="66">
        <v>0</v>
      </c>
      <c r="H6" s="14" t="s">
        <v>3</v>
      </c>
      <c r="I6" s="1"/>
    </row>
    <row r="7" spans="1:9" x14ac:dyDescent="0.25">
      <c r="A7" s="1"/>
      <c r="B7" s="119" t="s">
        <v>39</v>
      </c>
      <c r="C7" s="120"/>
      <c r="D7" s="120"/>
      <c r="E7" s="120"/>
      <c r="F7" s="121"/>
      <c r="G7" s="23">
        <f>SUM(G5:G6)*'Fane 15. Nøgletal'!C33</f>
        <v>260496.49083182149</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12987703.79164754</v>
      </c>
      <c r="H11" s="14" t="s">
        <v>3</v>
      </c>
      <c r="I11" s="1"/>
    </row>
    <row r="12" spans="1:9" ht="15" customHeight="1" x14ac:dyDescent="0.25">
      <c r="A12" s="1"/>
      <c r="B12" s="119" t="s">
        <v>103</v>
      </c>
      <c r="C12" s="120"/>
      <c r="D12" s="120"/>
      <c r="E12" s="120"/>
      <c r="F12" s="121"/>
      <c r="G12" s="66">
        <v>0</v>
      </c>
      <c r="H12" s="14" t="s">
        <v>3</v>
      </c>
      <c r="I12" s="1"/>
    </row>
    <row r="13" spans="1:9" x14ac:dyDescent="0.25">
      <c r="A13" s="1"/>
      <c r="B13" s="113" t="s">
        <v>100</v>
      </c>
      <c r="C13" s="114"/>
      <c r="D13" s="114"/>
      <c r="E13" s="114"/>
      <c r="F13" s="115"/>
      <c r="G13" s="66">
        <v>0</v>
      </c>
      <c r="H13" s="14" t="s">
        <v>3</v>
      </c>
      <c r="I13" s="1"/>
    </row>
    <row r="14" spans="1:9" x14ac:dyDescent="0.25">
      <c r="A14" s="1"/>
      <c r="B14" s="122" t="s">
        <v>244</v>
      </c>
      <c r="C14" s="123"/>
      <c r="D14" s="123"/>
      <c r="E14" s="123"/>
      <c r="F14" s="124"/>
      <c r="G14" s="66">
        <v>0</v>
      </c>
      <c r="H14" s="14" t="s">
        <v>3</v>
      </c>
      <c r="I14" s="1"/>
    </row>
    <row r="15" spans="1:9" x14ac:dyDescent="0.25">
      <c r="A15" s="1"/>
      <c r="B15" s="119" t="s">
        <v>41</v>
      </c>
      <c r="C15" s="120"/>
      <c r="D15" s="120"/>
      <c r="E15" s="120"/>
      <c r="F15" s="121"/>
      <c r="G15" s="23">
        <f>SUM(G11:G14)*'Fane 15. Nøgletal'!C33</f>
        <v>259754.07583295082</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12950688.835841347</v>
      </c>
      <c r="H19" s="14" t="s">
        <v>3</v>
      </c>
      <c r="I19" s="1"/>
    </row>
    <row r="20" spans="1:9" x14ac:dyDescent="0.25">
      <c r="A20" s="1"/>
      <c r="B20" s="122" t="s">
        <v>245</v>
      </c>
      <c r="C20" s="123"/>
      <c r="D20" s="123"/>
      <c r="E20" s="123"/>
      <c r="F20" s="124"/>
      <c r="G20" s="66">
        <v>0</v>
      </c>
      <c r="H20" s="14" t="s">
        <v>3</v>
      </c>
      <c r="I20" s="1"/>
    </row>
    <row r="21" spans="1:9" x14ac:dyDescent="0.25">
      <c r="A21" s="1"/>
      <c r="B21" s="119" t="s">
        <v>43</v>
      </c>
      <c r="C21" s="120"/>
      <c r="D21" s="120"/>
      <c r="E21" s="120"/>
      <c r="F21" s="121"/>
      <c r="G21" s="23">
        <f>SUM(G19:G20)*'Fane 15. Nøgletal'!C33</f>
        <v>259013.77671682695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12941701.057789274</v>
      </c>
      <c r="H25" s="14" t="s">
        <v>3</v>
      </c>
      <c r="I25" s="1"/>
    </row>
    <row r="26" spans="1:9" x14ac:dyDescent="0.25">
      <c r="A26" s="1"/>
      <c r="B26" s="122" t="s">
        <v>246</v>
      </c>
      <c r="C26" s="123"/>
      <c r="D26" s="123"/>
      <c r="E26" s="123"/>
      <c r="F26" s="124"/>
      <c r="G26" s="66">
        <v>16409.935636380003</v>
      </c>
      <c r="H26" s="14" t="s">
        <v>3</v>
      </c>
      <c r="I26" s="1"/>
    </row>
    <row r="27" spans="1:9" x14ac:dyDescent="0.25">
      <c r="A27" s="1"/>
      <c r="B27" s="119" t="s">
        <v>45</v>
      </c>
      <c r="C27" s="120"/>
      <c r="D27" s="120"/>
      <c r="E27" s="120"/>
      <c r="F27" s="121"/>
      <c r="G27" s="23">
        <f>(G25+G26)*'Fane 15. Nøgletal'!C33</f>
        <v>259162.21986851309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12949118.064396217</v>
      </c>
      <c r="H31" s="14" t="s">
        <v>3</v>
      </c>
      <c r="I31" s="1"/>
    </row>
    <row r="32" spans="1:9" x14ac:dyDescent="0.25">
      <c r="A32" s="1"/>
      <c r="B32" s="119" t="s">
        <v>243</v>
      </c>
      <c r="C32" s="120"/>
      <c r="D32" s="120"/>
      <c r="E32" s="120"/>
      <c r="F32" s="121"/>
      <c r="G32" s="63">
        <v>43807.659300719999</v>
      </c>
      <c r="H32" s="14" t="s">
        <v>3</v>
      </c>
      <c r="I32" s="1"/>
    </row>
    <row r="33" spans="1:9" x14ac:dyDescent="0.25">
      <c r="A33" s="1"/>
      <c r="B33" s="119" t="s">
        <v>54</v>
      </c>
      <c r="C33" s="120"/>
      <c r="D33" s="120"/>
      <c r="E33" s="120"/>
      <c r="F33" s="121"/>
      <c r="G33" s="23">
        <f>(G31+G32)*'Fane 15. Nøgletal'!C33</f>
        <v>259858.51447393876</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12775086.331013435</v>
      </c>
      <c r="H37" s="14" t="s">
        <v>3</v>
      </c>
      <c r="I37" s="1"/>
    </row>
    <row r="38" spans="1:9" x14ac:dyDescent="0.25">
      <c r="A38" s="1"/>
      <c r="B38" s="119" t="s">
        <v>242</v>
      </c>
      <c r="C38" s="120"/>
      <c r="D38" s="120"/>
      <c r="E38" s="120"/>
      <c r="F38" s="121"/>
      <c r="G38" s="63">
        <v>50283.233788170008</v>
      </c>
      <c r="H38" s="14" t="s">
        <v>3</v>
      </c>
      <c r="I38" s="1"/>
    </row>
    <row r="39" spans="1:9" x14ac:dyDescent="0.25">
      <c r="A39" s="1"/>
      <c r="B39" s="119" t="s">
        <v>128</v>
      </c>
      <c r="C39" s="120"/>
      <c r="D39" s="120"/>
      <c r="E39" s="120"/>
      <c r="F39" s="121"/>
      <c r="G39" s="23">
        <f>(G37+G38)*'Fane 15. Nøgletal'!C33</f>
        <v>256507.39129603212</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12610339.418678142</v>
      </c>
      <c r="H43" s="14" t="s">
        <v>3</v>
      </c>
      <c r="I43" s="1"/>
    </row>
    <row r="44" spans="1:9" x14ac:dyDescent="0.25">
      <c r="A44" s="1"/>
      <c r="B44" s="125" t="s">
        <v>157</v>
      </c>
      <c r="C44" s="126"/>
      <c r="D44" s="126"/>
      <c r="E44" s="126"/>
      <c r="F44" s="127"/>
      <c r="G44" s="45">
        <v>106145.31202128001</v>
      </c>
      <c r="H44" s="14" t="s">
        <v>3</v>
      </c>
      <c r="I44" s="1"/>
    </row>
    <row r="45" spans="1:9" x14ac:dyDescent="0.25">
      <c r="A45" s="1"/>
      <c r="B45" s="119" t="s">
        <v>129</v>
      </c>
      <c r="C45" s="120"/>
      <c r="D45" s="120"/>
      <c r="E45" s="120"/>
      <c r="F45" s="121"/>
      <c r="G45" s="23">
        <f>SUM(G43:G44)*'Fane 15. Nøgletal'!C33</f>
        <v>254329.69461398845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13469097.163001137</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88019.661152639994</v>
      </c>
      <c r="H53" s="14" t="s">
        <v>3</v>
      </c>
      <c r="I53" s="1"/>
    </row>
    <row r="54" spans="1:9" x14ac:dyDescent="0.25">
      <c r="A54" s="1"/>
      <c r="B54" s="119" t="s">
        <v>210</v>
      </c>
      <c r="C54" s="120"/>
      <c r="D54" s="120"/>
      <c r="E54" s="120"/>
      <c r="F54" s="121"/>
      <c r="G54" s="23">
        <f>(G52)*'Fane 15. Nøgletal'!C33+(G53)*'Fane 15. Nøgletal'!C33</f>
        <v>271142.33648307552</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77" t="s">
        <v>212</v>
      </c>
      <c r="C58" s="78"/>
      <c r="D58" s="78"/>
      <c r="E58" s="78"/>
      <c r="F58" s="79"/>
      <c r="G58" s="23">
        <f>(G52+G53-G54)*(1+'Fane 15. Nøgletal'!C16)</f>
        <v>14359481.226274494</v>
      </c>
      <c r="H58" s="14" t="s">
        <v>3</v>
      </c>
      <c r="I58" s="1"/>
    </row>
    <row r="59" spans="1:9" x14ac:dyDescent="0.25">
      <c r="A59" s="1"/>
      <c r="B59" s="77" t="s">
        <v>211</v>
      </c>
      <c r="C59" s="78"/>
      <c r="D59" s="78"/>
      <c r="E59" s="78"/>
      <c r="F59" s="79"/>
      <c r="G59" s="23">
        <f>(G58)*'Fane 15. Nøgletal'!C33</f>
        <v>287189.62452548987</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256</v>
      </c>
      <c r="C62" s="117"/>
      <c r="D62" s="117"/>
      <c r="E62" s="117"/>
      <c r="F62" s="117"/>
      <c r="G62" s="117"/>
      <c r="H62" s="118"/>
      <c r="I62" s="1"/>
    </row>
    <row r="63" spans="1:9" x14ac:dyDescent="0.25">
      <c r="A63" s="1"/>
      <c r="B63" s="77" t="s">
        <v>213</v>
      </c>
      <c r="C63" s="78"/>
      <c r="D63" s="78"/>
      <c r="E63" s="78"/>
      <c r="F63" s="79"/>
      <c r="G63" s="23">
        <f>(G58-G59)*(1+'Fane 15. Nøgletal'!C16)</f>
        <v>15209332.763170324</v>
      </c>
      <c r="H63" s="14" t="s">
        <v>3</v>
      </c>
      <c r="I63" s="1"/>
    </row>
    <row r="64" spans="1:9" x14ac:dyDescent="0.25">
      <c r="A64" s="1"/>
      <c r="B64" s="77" t="s">
        <v>214</v>
      </c>
      <c r="C64" s="78"/>
      <c r="D64" s="78"/>
      <c r="E64" s="78"/>
      <c r="F64" s="79"/>
      <c r="G64" s="23">
        <f>(G63)*'Fane 15. Nøgletal'!C33</f>
        <v>304186.65526340652</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257</v>
      </c>
      <c r="C67" s="117"/>
      <c r="D67" s="117"/>
      <c r="E67" s="117"/>
      <c r="F67" s="117"/>
      <c r="G67" s="117"/>
      <c r="H67" s="118"/>
      <c r="I67" s="1"/>
    </row>
    <row r="68" spans="1:9" x14ac:dyDescent="0.25">
      <c r="A68" s="1"/>
      <c r="B68" s="77" t="s">
        <v>213</v>
      </c>
      <c r="C68" s="78"/>
      <c r="D68" s="78"/>
      <c r="E68" s="78"/>
      <c r="F68" s="79"/>
      <c r="G68" s="23">
        <f>(G63-G64)*(1+'Fane 15. Nøgletal'!C16)</f>
        <v>16109481.913425796</v>
      </c>
      <c r="H68" s="14" t="s">
        <v>3</v>
      </c>
      <c r="I68" s="1"/>
    </row>
    <row r="69" spans="1:9" x14ac:dyDescent="0.25">
      <c r="A69" s="1"/>
      <c r="B69" s="77" t="s">
        <v>214</v>
      </c>
      <c r="C69" s="78"/>
      <c r="D69" s="78"/>
      <c r="E69" s="78"/>
      <c r="F69" s="79"/>
      <c r="G69" s="23">
        <f>(G68)*'Fane 15. Nøgletal'!C33</f>
        <v>322189.63826851593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C4AASNQqRxuQoZueg6WfVZnENL+i0k8mDxZZk4jhsmwoiIFvqgSHLO8DAA3nwQ4Tag6BrsQBl21/cmzkRBFhxw==" saltValue="puDVfG4Ul37CMkK01t8ks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63">
        <v>29307753.380379353</v>
      </c>
      <c r="H5" s="14" t="s">
        <v>3</v>
      </c>
      <c r="I5" s="1"/>
    </row>
    <row r="6" spans="1:9" x14ac:dyDescent="0.25">
      <c r="A6" s="1"/>
      <c r="B6" s="119" t="s">
        <v>51</v>
      </c>
      <c r="C6" s="120"/>
      <c r="D6" s="120"/>
      <c r="E6" s="120"/>
      <c r="F6" s="121"/>
      <c r="G6" s="23">
        <f>G5*'Fane 15. Nøgletal'!C21</f>
        <v>266700.55576145212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29549271.249048714</v>
      </c>
      <c r="H10" s="14" t="s">
        <v>3</v>
      </c>
      <c r="I10" s="1"/>
    </row>
    <row r="11" spans="1:9" x14ac:dyDescent="0.25">
      <c r="A11" s="1"/>
      <c r="B11" s="119" t="s">
        <v>104</v>
      </c>
      <c r="C11" s="120"/>
      <c r="D11" s="120"/>
      <c r="E11" s="120"/>
      <c r="F11" s="121"/>
      <c r="G11" s="63">
        <v>1905437.2743868683</v>
      </c>
      <c r="H11" s="14" t="s">
        <v>3</v>
      </c>
      <c r="I11" s="1"/>
    </row>
    <row r="12" spans="1:9" x14ac:dyDescent="0.25">
      <c r="A12" s="1"/>
      <c r="B12" s="122" t="s">
        <v>247</v>
      </c>
      <c r="C12" s="123"/>
      <c r="D12" s="123"/>
      <c r="E12" s="123"/>
      <c r="F12" s="124"/>
      <c r="G12" s="66">
        <v>0</v>
      </c>
      <c r="H12" s="14" t="s">
        <v>3</v>
      </c>
      <c r="I12" s="1"/>
    </row>
    <row r="13" spans="1:9" x14ac:dyDescent="0.25">
      <c r="A13" s="1"/>
      <c r="B13" s="119" t="s">
        <v>58</v>
      </c>
      <c r="C13" s="120"/>
      <c r="D13" s="120"/>
      <c r="E13" s="120"/>
      <c r="F13" s="121"/>
      <c r="G13" s="23">
        <f>SUM(G10:G12)*'Fane 15. Nøgletal'!C22</f>
        <v>556748.34086480981</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31438674.485765763</v>
      </c>
      <c r="H17" s="14" t="s">
        <v>3</v>
      </c>
      <c r="I17" s="1"/>
    </row>
    <row r="18" spans="1:9" x14ac:dyDescent="0.25">
      <c r="A18" s="1"/>
      <c r="B18" s="122" t="s">
        <v>248</v>
      </c>
      <c r="C18" s="123"/>
      <c r="D18" s="123"/>
      <c r="E18" s="123"/>
      <c r="F18" s="124"/>
      <c r="G18" s="63">
        <v>2416420.2308796993</v>
      </c>
      <c r="H18" s="14" t="s">
        <v>3</v>
      </c>
      <c r="I18" s="1"/>
    </row>
    <row r="19" spans="1:9" x14ac:dyDescent="0.25">
      <c r="A19" s="1"/>
      <c r="B19" s="119" t="s">
        <v>61</v>
      </c>
      <c r="C19" s="120"/>
      <c r="D19" s="120"/>
      <c r="E19" s="120"/>
      <c r="F19" s="121"/>
      <c r="G19" s="23">
        <f>G17*'Fane 15. Nøgletal'!C22+G18*'Fane 15. Nøgletal'!C23</f>
        <v>577487.39440670738</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33933176.186486863</v>
      </c>
      <c r="H23" s="14" t="s">
        <v>3</v>
      </c>
      <c r="I23" s="1"/>
    </row>
    <row r="24" spans="1:9" x14ac:dyDescent="0.25">
      <c r="A24" s="1"/>
      <c r="B24" s="122" t="s">
        <v>249</v>
      </c>
      <c r="C24" s="123"/>
      <c r="D24" s="123"/>
      <c r="E24" s="123"/>
      <c r="F24" s="124"/>
      <c r="G24" s="63">
        <v>862500.16097570071</v>
      </c>
      <c r="H24" s="14" t="s">
        <v>3</v>
      </c>
      <c r="I24" s="1"/>
    </row>
    <row r="25" spans="1:9" x14ac:dyDescent="0.25">
      <c r="A25" s="1"/>
      <c r="B25" s="119" t="s">
        <v>64</v>
      </c>
      <c r="C25" s="120"/>
      <c r="D25" s="120"/>
      <c r="E25" s="120"/>
      <c r="F25" s="121"/>
      <c r="G25" s="23">
        <f>(G23+G24)*'Fane 15. Nøgletal'!C24</f>
        <v>988197.20826793695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34473486.478236765</v>
      </c>
      <c r="H29" s="14" t="s">
        <v>3</v>
      </c>
      <c r="I29" s="1"/>
    </row>
    <row r="30" spans="1:9" x14ac:dyDescent="0.25">
      <c r="A30" s="1"/>
      <c r="B30" s="119" t="s">
        <v>250</v>
      </c>
      <c r="C30" s="120"/>
      <c r="D30" s="120"/>
      <c r="E30" s="120"/>
      <c r="F30" s="121"/>
      <c r="G30" s="63">
        <v>1980506.1842596799</v>
      </c>
      <c r="H30" s="14" t="s">
        <v>3</v>
      </c>
      <c r="I30" s="1"/>
    </row>
    <row r="31" spans="1:9" x14ac:dyDescent="0.25">
      <c r="A31" s="1"/>
      <c r="B31" s="119" t="s">
        <v>67</v>
      </c>
      <c r="C31" s="120"/>
      <c r="D31" s="120"/>
      <c r="E31" s="120"/>
      <c r="F31" s="121"/>
      <c r="G31" s="23">
        <f>G29*'Fane 15. Nøgletal'!C24+G30*'Fane 15. Nøgletal'!C25</f>
        <v>1033510.9360490653</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35537369.31614466</v>
      </c>
      <c r="H35" s="14" t="s">
        <v>3</v>
      </c>
      <c r="I35" s="1"/>
    </row>
    <row r="36" spans="1:9" x14ac:dyDescent="0.25">
      <c r="A36" s="1"/>
      <c r="B36" s="119" t="s">
        <v>251</v>
      </c>
      <c r="C36" s="120"/>
      <c r="D36" s="120"/>
      <c r="E36" s="120"/>
      <c r="F36" s="121"/>
      <c r="G36" s="63">
        <v>12487281.888612082</v>
      </c>
      <c r="H36" s="14" t="s">
        <v>3</v>
      </c>
      <c r="I36" s="1"/>
    </row>
    <row r="37" spans="1:9" x14ac:dyDescent="0.25">
      <c r="A37" s="1"/>
      <c r="B37" s="119" t="s">
        <v>131</v>
      </c>
      <c r="C37" s="120"/>
      <c r="D37" s="120"/>
      <c r="E37" s="120"/>
      <c r="F37" s="121"/>
      <c r="G37" s="23">
        <f>(G35+G36)*'Fane 15. Nøgletal'!C26</f>
        <v>710764.83783039986</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47470022.191937201</v>
      </c>
      <c r="H41" s="14" t="s">
        <v>3</v>
      </c>
      <c r="I41" s="1"/>
    </row>
    <row r="42" spans="1:9" x14ac:dyDescent="0.25">
      <c r="A42" s="1"/>
      <c r="B42" s="40" t="s">
        <v>156</v>
      </c>
      <c r="C42" s="78"/>
      <c r="D42" s="78"/>
      <c r="E42" s="78"/>
      <c r="F42" s="79"/>
      <c r="G42" s="23">
        <v>12195449.195840921</v>
      </c>
      <c r="H42" s="14" t="s">
        <v>3</v>
      </c>
      <c r="I42" s="1"/>
    </row>
    <row r="43" spans="1:9" x14ac:dyDescent="0.25">
      <c r="A43" s="1"/>
      <c r="B43" s="119" t="s">
        <v>132</v>
      </c>
      <c r="C43" s="120"/>
      <c r="D43" s="120"/>
      <c r="E43" s="120"/>
      <c r="F43" s="121"/>
      <c r="G43" s="23">
        <f>(G41)*'Fane 15. Nøgletal'!C26+G42*'Fane 15. Nøgletal'!C27</f>
        <v>702556.32844067062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259</v>
      </c>
      <c r="C52" s="117"/>
      <c r="D52" s="117"/>
      <c r="E52" s="117"/>
      <c r="F52" s="117"/>
      <c r="G52" s="117"/>
      <c r="H52" s="118"/>
      <c r="I52" s="1"/>
    </row>
    <row r="53" spans="1:9" x14ac:dyDescent="0.25">
      <c r="A53" s="1"/>
      <c r="B53" s="119" t="s">
        <v>217</v>
      </c>
      <c r="C53" s="120"/>
      <c r="D53" s="120"/>
      <c r="E53" s="120"/>
      <c r="F53" s="121"/>
      <c r="G53" s="23">
        <f>(G41+G42-G43)*(1+'Fane 15. Nøgletal'!C16)</f>
        <v>63727118.596131906</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6804449.5534373121</v>
      </c>
      <c r="H54" s="14" t="s">
        <v>3</v>
      </c>
      <c r="I54" s="1"/>
    </row>
    <row r="55" spans="1:9" x14ac:dyDescent="0.25">
      <c r="A55" s="1"/>
      <c r="B55" s="119" t="s">
        <v>218</v>
      </c>
      <c r="C55" s="120"/>
      <c r="D55" s="120"/>
      <c r="E55" s="120"/>
      <c r="F55" s="121"/>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258</v>
      </c>
      <c r="C58" s="117"/>
      <c r="D58" s="117"/>
      <c r="E58" s="117"/>
      <c r="F58" s="117"/>
      <c r="G58" s="117"/>
      <c r="H58" s="118"/>
      <c r="I58" s="1"/>
    </row>
    <row r="59" spans="1:9" x14ac:dyDescent="0.25">
      <c r="A59" s="1"/>
      <c r="B59" s="119" t="s">
        <v>219</v>
      </c>
      <c r="C59" s="120"/>
      <c r="D59" s="120"/>
      <c r="E59" s="120"/>
      <c r="F59" s="121"/>
      <c r="G59" s="23">
        <f>(G53+G54-G55)*(1+'Fane 15. Nøgletal'!C16)</f>
        <v>76230518.85605441</v>
      </c>
      <c r="H59" s="14" t="s">
        <v>3</v>
      </c>
      <c r="I59" s="1"/>
    </row>
    <row r="60" spans="1:9" x14ac:dyDescent="0.25">
      <c r="A60" s="1"/>
      <c r="B60" s="119" t="s">
        <v>220</v>
      </c>
      <c r="C60" s="120"/>
      <c r="D60" s="120"/>
      <c r="E60" s="120"/>
      <c r="F60" s="121"/>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82389944.779623613</v>
      </c>
      <c r="H64" s="14" t="s">
        <v>3</v>
      </c>
      <c r="I64" s="1"/>
    </row>
    <row r="65" spans="1:9" x14ac:dyDescent="0.25">
      <c r="A65" s="1"/>
      <c r="B65" s="119" t="s">
        <v>222</v>
      </c>
      <c r="C65" s="120"/>
      <c r="D65" s="120"/>
      <c r="E65" s="120"/>
      <c r="F65" s="121"/>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89047052.317817196</v>
      </c>
      <c r="H69" s="14" t="s">
        <v>3</v>
      </c>
      <c r="I69" s="1"/>
    </row>
    <row r="70" spans="1:9" x14ac:dyDescent="0.25">
      <c r="A70" s="1"/>
      <c r="B70" s="119" t="s">
        <v>222</v>
      </c>
      <c r="C70" s="120"/>
      <c r="D70" s="120"/>
      <c r="E70" s="120"/>
      <c r="F70" s="121"/>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QKecBaFSk8aFhdUVaane4c397lCQZlkYYl2t0Q8acKaPdy/0XxOkO8nKf3fBfNfXQSKXBkA2nvkZ9UNdN21yFA==" saltValue="OefUp2KjIJtB27CJl6xC5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275</v>
      </c>
      <c r="C9" s="120"/>
      <c r="D9" s="120"/>
      <c r="E9" s="120"/>
      <c r="F9" s="121"/>
      <c r="G9" s="22">
        <v>0.02</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hI3gAvxjhBtRKSERhnV5Qq4761RL2wie3BBE/TMX17T2EQvmJxNsjQQhliY8CK4Zm/tjDN4N/G5sypPZxRLIeg==" saltValue="Oy57KC9DMAEA8tiTTBBEq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2023-09-13T10:55:33Z</dcterms:modified>
</cp:coreProperties>
</file>