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Solrød Vandværk a.m.b.a. (V171)\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6" i="8" l="1"/>
  <c r="E15" i="8"/>
  <c r="E24" i="8" l="1"/>
  <c r="E28" i="8" s="1"/>
  <c r="E30" i="8" s="1"/>
  <c r="E24" i="2" l="1"/>
  <c r="E15" i="3"/>
  <c r="C11" i="12"/>
  <c r="E11" i="12"/>
  <c r="E10" i="11"/>
  <c r="C10" i="11"/>
  <c r="H11" i="9"/>
  <c r="J11" i="9"/>
  <c r="C12" i="7"/>
  <c r="F10" i="9" l="1"/>
  <c r="F11" i="9" s="1"/>
  <c r="E12" i="12"/>
  <c r="C12" i="12"/>
  <c r="E12" i="2" l="1"/>
  <c r="E11" i="11"/>
  <c r="C11" i="11"/>
  <c r="C10" i="10" l="1"/>
  <c r="C13"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<sst xmlns="http://schemas.openxmlformats.org/spreadsheetml/2006/main" count="320" uniqueCount="153">
  <si>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</si>
  <si>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</si>
  <si>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</si>
  <si>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</si>
  <si>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</si>
  <si>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</si>
  <si>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</si>
  <si>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</si>
  <si>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</si>
  <si>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</si>
  <si>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</si>
  <si>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</si>
  <si>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</si>
  <si>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</si>
  <si>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</si>
  <si>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</si>
  <si>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</si>
  <si>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</si>
  <si>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</si>
  <si>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</si>
  <si>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</si>
  <si>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</si>
  <si>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</si>
  <si>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</si>
  <si>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</si>
  <si>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</si>
  <si>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</si>
  <si>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</si>
  <si>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</si>
  <si>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</si>
  <si>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</si>
  <si>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</si>
  <si>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</si>
  <si>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</si>
  <si>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</si>
  <si>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</si>
  <si>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</si>
  <si>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</si>
  <si>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</si>
  <si>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</si>
  <si>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</si>
  <si>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</si>
  <si>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</si>
  <si>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</si>
  <si>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</si>
  <si>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</si>
  <si>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</si>
  <si>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</si>
  <si>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</si>
  <si>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</si>
  <si>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</si>
  <si>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</si>
  <si>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</si>
  <si>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</si>
  <si>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</si>
  <si>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</si>
  <si>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</si>
  <si>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</si>
  <si>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</si>
  <si>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</si>
  <si>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</si>
  <si>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</si>
  <si>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</si>
  <si>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</si>
  <si>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</si>
  <si>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</si>
  <si>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</si>
  <si>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</si>
  <si>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</si>
  <si>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</si>
  <si>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</si>
  <si>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</si>
  <si>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</si>
  <si>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</si>
  <si>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</si>
  <si>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</si>
  <si>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</si>
  <si>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</si>
  <si>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</si>
  <si>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</si>
  <si>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</si>
  <si>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</si>
  <si>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</si>
  <si>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</si>
  <si>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</si>
  <si>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</si>
  <si>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</si>
  <si>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</si>
  <si>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</si>
  <si>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</si>
  <si>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</si>
  <si>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</si>
  <si>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</si>
  <si>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</si>
  <si>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</si>
  <si>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</si>
  <si>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</si>
  <si>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</si>
  <si>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</si>
  <si>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</si>
  <si>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</si>
  <si>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</si>
  <si>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</si>
  <si>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</si>
  <si>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</si>
  <si>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</si>
  <si>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</si>
  <si>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</si>
  <si>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</si>
  <si>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</si>
  <si>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</si>
  <si>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</si>
  <si>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</si>
  <si>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</si>
  <si>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</si>
  <si>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</si>
  <si>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</si>
  <si>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</si>
  <si>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</si>
  <si>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</si>
  <si>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</si>
  <si>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</si>
  <si>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</si>
  <si>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</si>
  <si>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</si>
  <si>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</si>
  <si>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</si>
  <si>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</si>
  <si>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</si>
  <si>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</si>
  <si>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Indregnet fradrag i økonomisk ramme for 2024</t>
  </si>
  <si>
    <t>Faktiske indtægter i 2021</t>
  </si>
  <si>
    <t>Til indregning i de økonomiske rammer for 2023-2024</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</si>
  <si>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</si>
  <si>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</si>
  <si>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</si>
  <si>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</si>
  <si>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</si>
  <si>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</si>
  <si>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</si>
  <si>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</si>
  <si>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</si>
  <si>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</si>
  <si>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</si>
  <si>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</si>
  <si>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Økonomisk ramme for 2022</t>
  </si>
  <si>
    <t>Udvidelse af forsyningsområdet</t>
  </si>
  <si>
    <t>Ingen engangstillæg</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</si>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</sst>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105</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78</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28</v>
      </c>
      <c r="D15" s="84" t="s">
        <v>64</v>
      </c>
      <c r="E15" s="85"/>
      <c r="F15" s="85"/>
      <c r="G15" s="86"/>
      <c r="H15" s="1"/>
      <c r="I15" s="1"/>
    </row>
    <row r="16" spans="1:9" x14ac:dyDescent="0.25">
      <c r="A16" s="1"/>
      <c r="B16" s="1"/>
      <c r="C16" s="6" t="s">
        <v>29</v>
      </c>
      <c r="D16" s="84" t="s">
        <v>79</v>
      </c>
      <c r="E16" s="85"/>
      <c r="F16" s="85"/>
      <c r="G16" s="86"/>
      <c r="H16" s="1"/>
      <c r="I16" s="1"/>
    </row>
    <row r="17" spans="1:9" x14ac:dyDescent="0.25">
      <c r="A17" s="1"/>
      <c r="B17" s="1"/>
      <c r="C17" s="6" t="s">
        <v>49</v>
      </c>
      <c r="D17" s="84" t="s">
        <v>80</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81</v>
      </c>
      <c r="E19" s="76"/>
      <c r="F19" s="76"/>
      <c r="G19" s="77"/>
      <c r="H19" s="1"/>
      <c r="I19" s="1"/>
    </row>
    <row r="20" spans="1:9" x14ac:dyDescent="0.25">
      <c r="A20" s="1"/>
      <c r="B20" s="1"/>
      <c r="C20" s="6" t="s">
        <v>46</v>
      </c>
      <c r="D20" s="75" t="s">
        <v>113</v>
      </c>
      <c r="E20" s="76"/>
      <c r="F20" s="76"/>
      <c r="G20" s="77"/>
      <c r="H20" s="1"/>
      <c r="I20" s="1"/>
    </row>
    <row r="21" spans="1:9" x14ac:dyDescent="0.25">
      <c r="A21" s="1"/>
      <c r="B21" s="1"/>
      <c r="C21" s="6" t="s">
        <v>152</v>
      </c>
      <c r="D21" s="75" t="s">
        <v>108</v>
      </c>
      <c r="E21" s="76"/>
      <c r="F21" s="76"/>
      <c r="G21" s="77"/>
      <c r="H21" s="1"/>
      <c r="I21" s="1"/>
    </row>
    <row r="22" spans="1:9" x14ac:dyDescent="0.25">
      <c r="A22" s="1"/>
      <c r="B22" s="1"/>
      <c r="C22" s="6" t="s">
        <v>120</v>
      </c>
      <c r="D22" s="75" t="s">
        <v>35</v>
      </c>
      <c r="E22" s="76"/>
      <c r="F22" s="76"/>
      <c r="G22" s="77"/>
      <c r="H22" s="1"/>
      <c r="I22" s="1"/>
    </row>
    <row r="23" spans="1:9" x14ac:dyDescent="0.25">
      <c r="A23" s="1"/>
      <c r="B23" s="1"/>
      <c r="C23" s="6" t="s">
        <v>121</v>
      </c>
      <c r="D23" s="75" t="s">
        <v>36</v>
      </c>
      <c r="E23" s="76"/>
      <c r="F23" s="76"/>
      <c r="G23" s="77"/>
      <c r="H23" s="1"/>
      <c r="I23" s="1"/>
    </row>
    <row r="24" spans="1:9" x14ac:dyDescent="0.25">
      <c r="A24" s="1"/>
      <c r="B24" s="1"/>
      <c r="C24" s="6" t="s">
        <v>9</v>
      </c>
      <c r="D24" s="75" t="s">
        <v>53</v>
      </c>
      <c r="E24" s="76"/>
      <c r="F24" s="76"/>
      <c r="G24" s="77"/>
      <c r="H24" s="1"/>
      <c r="I24" s="1"/>
    </row>
    <row r="25" spans="1:9" x14ac:dyDescent="0.25">
      <c r="A25" s="1"/>
      <c r="B25" s="1"/>
      <c r="C25" s="6" t="s">
        <v>41</v>
      </c>
      <c r="D25" s="75" t="s">
        <v>30</v>
      </c>
      <c r="E25" s="76"/>
      <c r="F25" s="76"/>
      <c r="G25" s="77"/>
      <c r="H25" s="1"/>
      <c r="I25" s="1"/>
    </row>
    <row r="26" spans="1:9" x14ac:dyDescent="0.25">
      <c r="A26" s="1"/>
      <c r="B26" s="1"/>
      <c r="C26" s="6" t="s">
        <v>122</v>
      </c>
      <c r="D26" s="78" t="s">
        <v>47</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QRE3fJ9cHtqiQjfRBgAInVluWzS6UOltQMapGy6HX7OIgU9/3eFIQDK2ww2Mn3fe35CymKxUJmFsQboZWq3dyA==" saltValue="8aYXt3UbSJpzWAx5/pRs3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62" t="s">
        <v>144</v>
      </c>
      <c r="C10" s="29">
        <v>0</v>
      </c>
      <c r="D10" s="8">
        <v>0</v>
      </c>
      <c r="E10" s="12" t="s">
        <v>3</v>
      </c>
      <c r="F10" s="8">
        <f>IFERROR(D10/C10,0)</f>
        <v>0</v>
      </c>
      <c r="G10" s="12" t="s">
        <v>3</v>
      </c>
      <c r="H10" s="8">
        <v>0</v>
      </c>
      <c r="I10" s="12" t="s">
        <v>3</v>
      </c>
      <c r="J10" s="8">
        <v>0</v>
      </c>
      <c r="K10" s="12" t="s">
        <v>3</v>
      </c>
      <c r="L10" s="1"/>
    </row>
    <row r="11" spans="1:12" x14ac:dyDescent="0.25">
      <c r="A11" s="1"/>
      <c r="B11" s="63" t="s">
        <v>102</v>
      </c>
      <c r="C11" s="64"/>
      <c r="D11" s="65"/>
      <c r="E11" s="6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mhyVvpOL5EUv051k5QFALtWSWDlB7uC6+vQ0JMZIZ/88whG04BkB0iGv6Bz7kKvgAwuDuTNeLQhLf1C4HIltkQ==" saltValue="lDhkH52F1owUZx5FpVl5e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58" t="s">
        <v>15</v>
      </c>
      <c r="C9" s="58" t="s">
        <v>10</v>
      </c>
      <c r="D9" s="59"/>
      <c r="E9" s="58" t="s">
        <v>24</v>
      </c>
      <c r="F9" s="71"/>
      <c r="G9" s="1"/>
    </row>
    <row r="10" spans="1:7" x14ac:dyDescent="0.25">
      <c r="A10" s="1"/>
      <c r="B10" s="20" t="s">
        <v>133</v>
      </c>
      <c r="C10" s="19">
        <f>'Fane 7. Anlægsprojekter (§ 19)'!H11</f>
        <v>0</v>
      </c>
      <c r="D10" s="12" t="s">
        <v>3</v>
      </c>
      <c r="E10" s="8">
        <f>SUM('Fane 7. Anlægsprojekter (§ 19)'!F11,'Fane 7. Anlægsprojekter (§ 19)'!J11)</f>
        <v>0</v>
      </c>
      <c r="F10" s="12" t="s">
        <v>3</v>
      </c>
      <c r="G10" s="1"/>
    </row>
    <row r="11" spans="1:7" x14ac:dyDescent="0.25">
      <c r="A11" s="1"/>
      <c r="B11" s="20" t="s">
        <v>146</v>
      </c>
      <c r="C11" s="19">
        <v>0</v>
      </c>
      <c r="D11" s="12" t="s">
        <v>3</v>
      </c>
      <c r="E11" s="8">
        <v>133293</v>
      </c>
      <c r="F11" s="12" t="s">
        <v>3</v>
      </c>
      <c r="G11" s="1"/>
    </row>
    <row r="12" spans="1:7" x14ac:dyDescent="0.25">
      <c r="A12" s="1"/>
      <c r="B12" s="72" t="s">
        <v>67</v>
      </c>
      <c r="C12" s="10">
        <f>SUM(C10:C11)</f>
        <v>0</v>
      </c>
      <c r="D12" s="11" t="s">
        <v>3</v>
      </c>
      <c r="E12" s="10">
        <f>SUM(E10:E11)</f>
        <v>133293</v>
      </c>
      <c r="F12" s="11" t="s">
        <v>3</v>
      </c>
      <c r="G12" s="1"/>
    </row>
    <row r="13" spans="1:7" x14ac:dyDescent="0.25">
      <c r="A13" s="1"/>
      <c r="B13" s="72" t="s">
        <v>98</v>
      </c>
      <c r="C13" s="10">
        <f>C12*(1+'Fane 11. Nøgletal'!C15)</f>
        <v>0</v>
      </c>
      <c r="D13" s="11" t="s">
        <v>3</v>
      </c>
      <c r="E13" s="10">
        <f>E12*(1+'Fane 11. Nøgletal'!C15)</f>
        <v>138038.23080000002</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ss0SIuiOZs76jO1tNrfZDUp7Kg1hRDtdSW4p5VwqetpVOO/eoo652Z5kMp3dVlSUoHvtgcW5Qu9iaV2w6A6SA==" saltValue="oh7eJmmi7ze/hF7UUFP0V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58" t="s">
        <v>15</v>
      </c>
      <c r="C8" s="58" t="s">
        <v>10</v>
      </c>
      <c r="D8" s="59"/>
      <c r="E8" s="58" t="s">
        <v>24</v>
      </c>
      <c r="F8" s="71"/>
      <c r="G8" s="1"/>
    </row>
    <row r="9" spans="1:7" x14ac:dyDescent="0.25">
      <c r="A9" s="1"/>
      <c r="B9" s="20" t="s">
        <v>147</v>
      </c>
      <c r="C9" s="19">
        <v>0</v>
      </c>
      <c r="D9" s="12" t="s">
        <v>3</v>
      </c>
      <c r="E9" s="19">
        <v>0</v>
      </c>
      <c r="F9" s="12" t="s">
        <v>3</v>
      </c>
      <c r="G9" s="1"/>
    </row>
    <row r="10" spans="1:7" x14ac:dyDescent="0.25">
      <c r="A10" s="1"/>
      <c r="B10" s="72" t="s">
        <v>107</v>
      </c>
      <c r="C10" s="10">
        <f>SUM(C9:C9)</f>
        <v>0</v>
      </c>
      <c r="D10" s="11" t="s">
        <v>3</v>
      </c>
      <c r="E10" s="10">
        <f>SUM(E9:E9)</f>
        <v>0</v>
      </c>
      <c r="F10" s="11" t="s">
        <v>3</v>
      </c>
      <c r="G10" s="1"/>
    </row>
    <row r="11" spans="1:7" x14ac:dyDescent="0.25">
      <c r="A11" s="1"/>
      <c r="B11" s="72"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o4bPm2oHSbQjNd8/WEmVhXXnKEpuZYNQGA2A607t1WLtx2WCVmuelIybu3z+IUO9DFUGP/XuxW3J13ryPYMwLg==" saltValue="ZHCcTrYzHe1EP2QHWF/sR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0" t="s">
        <v>61</v>
      </c>
      <c r="C9" s="130" t="s">
        <v>10</v>
      </c>
      <c r="D9" s="131"/>
      <c r="E9" s="130" t="s">
        <v>24</v>
      </c>
      <c r="F9" s="131"/>
      <c r="G9" s="1"/>
    </row>
    <row r="10" spans="1:7" x14ac:dyDescent="0.25">
      <c r="A10" s="1"/>
      <c r="B10" s="20" t="s">
        <v>134</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KGZiLeTI9Qi/pcCoszLdWBgBqDUOKLKxn+LpUm3wrX3kdg1HgWHUsKQCXBZvXTh3xDxIV0+Ud4X6767tWLy/g==" saltValue="aoi1VHEAQVdyWJbEYiD3C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0" t="s">
        <v>16</v>
      </c>
      <c r="C10" s="70" t="s">
        <v>10</v>
      </c>
      <c r="D10" s="71"/>
      <c r="E10" s="70" t="s">
        <v>24</v>
      </c>
      <c r="F10" s="71"/>
      <c r="G10" s="1"/>
    </row>
    <row r="11" spans="1:7" x14ac:dyDescent="0.25">
      <c r="A11" s="1"/>
      <c r="B11" s="20" t="s">
        <v>135</v>
      </c>
      <c r="C11" s="8">
        <v>0</v>
      </c>
      <c r="D11" s="12" t="s">
        <v>3</v>
      </c>
      <c r="E11" s="8">
        <v>0</v>
      </c>
      <c r="F11" s="12" t="s">
        <v>3</v>
      </c>
      <c r="G11" s="1"/>
    </row>
    <row r="12" spans="1:7" x14ac:dyDescent="0.25">
      <c r="A12" s="1"/>
      <c r="B12" s="72" t="s">
        <v>104</v>
      </c>
      <c r="C12" s="10">
        <f>SUM(C11:C11)</f>
        <v>0</v>
      </c>
      <c r="D12" s="11" t="s">
        <v>3</v>
      </c>
      <c r="E12" s="10">
        <f>SUM(E11:E11)</f>
        <v>0</v>
      </c>
      <c r="F12" s="11" t="s">
        <v>3</v>
      </c>
      <c r="G12" s="1"/>
    </row>
    <row r="13" spans="1:7" x14ac:dyDescent="0.25">
      <c r="A13" s="1"/>
      <c r="B13" s="72"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n5E48p0nO0xXAP+q4y32nngaEW/ANQgDyaJ8q7zCZFiGAiOgyinzHH6S2kdVleb7dl09VoaWTF8bLLGZ8FaYA==" saltValue="gl5LhkILi0G8eL94by3O8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119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2"/>
      <c r="C16" s="73"/>
      <c r="D16" s="1"/>
    </row>
    <row r="17" spans="1:4" x14ac:dyDescent="0.25">
      <c r="A17" s="1"/>
      <c r="B17" s="1"/>
      <c r="C17" s="1"/>
      <c r="D17" s="1"/>
    </row>
    <row r="18" spans="1:4" x14ac:dyDescent="0.25">
      <c r="A18" s="1"/>
      <c r="B18" s="1"/>
      <c r="C18" s="1"/>
      <c r="D18" s="1"/>
    </row>
    <row r="19" spans="1:4" x14ac:dyDescent="0.25">
      <c r="A19" s="1"/>
      <c r="B19" s="72" t="s">
        <v>44</v>
      </c>
      <c r="C19" s="73"/>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90rgLWzwToXAlbJ+h1IxAjxGHkT80VHwkm9xNdqr5SIcHxjWHaaHPgtwzVyZwkPxLQ6TLEK63Eead4TXIokUyw==" saltValue="CNHMobSz8v4LuXXLG/NEp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12</v>
      </c>
      <c r="C8" s="53"/>
      <c r="D8" s="53"/>
      <c r="E8" s="53"/>
      <c r="F8" s="53"/>
      <c r="G8" s="1"/>
    </row>
    <row r="9" spans="1:7" x14ac:dyDescent="0.25">
      <c r="A9" s="1"/>
      <c r="B9" s="61" t="s">
        <v>55</v>
      </c>
      <c r="C9" s="61"/>
      <c r="D9" s="61"/>
      <c r="E9" s="7">
        <f>'Fane 3. Omkostninger i ØR2022'!E16</f>
        <v>9986584.993698122</v>
      </c>
      <c r="F9" s="61" t="s">
        <v>3</v>
      </c>
      <c r="G9" s="1"/>
    </row>
    <row r="10" spans="1:7" ht="17.100000000000001" customHeight="1" x14ac:dyDescent="0.25">
      <c r="A10" s="1"/>
      <c r="B10" s="24" t="s">
        <v>50</v>
      </c>
      <c r="C10" s="61"/>
      <c r="D10" s="61"/>
      <c r="E10" s="7">
        <f>'Fane 8.1. Varige tillæg'!C13+'Fane 8.1. Varige tillæg'!E13</f>
        <v>138038.23080000002</v>
      </c>
      <c r="F10" s="61" t="s">
        <v>3</v>
      </c>
      <c r="G10" s="1"/>
    </row>
    <row r="11" spans="1:7" ht="17.100000000000001" customHeight="1" x14ac:dyDescent="0.25">
      <c r="A11" s="1"/>
      <c r="B11" s="24" t="s">
        <v>52</v>
      </c>
      <c r="C11" s="61"/>
      <c r="D11" s="61"/>
      <c r="E11" s="8">
        <f>-('Fane 10. Bortfald'!C13+'Fane 10. Bortfald'!E13)</f>
        <v>0</v>
      </c>
      <c r="F11" s="61" t="s">
        <v>3</v>
      </c>
      <c r="G11" s="1"/>
    </row>
    <row r="12" spans="1:7" ht="17.100000000000001" customHeight="1" x14ac:dyDescent="0.25">
      <c r="A12" s="1"/>
      <c r="B12" s="24" t="s">
        <v>54</v>
      </c>
      <c r="C12" s="61"/>
      <c r="D12" s="61"/>
      <c r="E12" s="8">
        <f>'Fane 9. Tilknyttet virksomhed'!C12+'Fane 9. Tilknyttet virksomhed'!E12</f>
        <v>0</v>
      </c>
      <c r="F12" s="61" t="s">
        <v>3</v>
      </c>
      <c r="G12" s="1"/>
    </row>
    <row r="13" spans="1:7" ht="17.100000000000001" customHeight="1" x14ac:dyDescent="0.25">
      <c r="A13" s="1"/>
      <c r="B13" s="24" t="s">
        <v>17</v>
      </c>
      <c r="C13" s="61"/>
      <c r="D13" s="61"/>
      <c r="E13" s="8">
        <f>SUM(E9:E12)*'Fane 11. Nøgletal'!C15</f>
        <v>360436.58679213317</v>
      </c>
      <c r="F13" s="61" t="s">
        <v>3</v>
      </c>
      <c r="G13" s="1"/>
    </row>
    <row r="14" spans="1:7" ht="17.100000000000001" customHeight="1" x14ac:dyDescent="0.25">
      <c r="A14" s="1"/>
      <c r="B14" s="24" t="s">
        <v>44</v>
      </c>
      <c r="C14" s="61"/>
      <c r="D14" s="61"/>
      <c r="E14" s="8">
        <f>-SUM(E9,E10:E13)*'Fane 11. Nøgletal'!C20</f>
        <v>-178246.01679193438</v>
      </c>
      <c r="F14" s="61" t="s">
        <v>3</v>
      </c>
      <c r="G14" s="1"/>
    </row>
    <row r="15" spans="1:7" ht="15" customHeight="1" x14ac:dyDescent="0.25">
      <c r="A15" s="1"/>
      <c r="B15" s="66" t="s">
        <v>19</v>
      </c>
      <c r="C15" s="28"/>
      <c r="D15" s="28"/>
      <c r="E15" s="9">
        <f>SUM(E9,E10:E14)</f>
        <v>10306813.794498323</v>
      </c>
      <c r="F15" s="54" t="s">
        <v>3</v>
      </c>
      <c r="G15" s="1"/>
    </row>
    <row r="16" spans="1:7" ht="15" customHeight="1" x14ac:dyDescent="0.25">
      <c r="A16" s="1"/>
      <c r="B16" s="53" t="s">
        <v>11</v>
      </c>
      <c r="C16" s="53"/>
      <c r="D16" s="53"/>
      <c r="E16" s="53"/>
      <c r="F16" s="53"/>
      <c r="G16" s="1"/>
    </row>
    <row r="17" spans="1:7" ht="15" customHeight="1" x14ac:dyDescent="0.25">
      <c r="A17" s="1"/>
      <c r="B17" s="54" t="s">
        <v>11</v>
      </c>
      <c r="C17" s="54"/>
      <c r="D17" s="54"/>
      <c r="E17" s="9">
        <f>'Fane 4. Ikke-påvirkelige omk.'!C13</f>
        <v>5090954.2968888003</v>
      </c>
      <c r="F17" s="54" t="s">
        <v>3</v>
      </c>
      <c r="G17" s="1"/>
    </row>
    <row r="18" spans="1:7" ht="15" customHeight="1" x14ac:dyDescent="0.25">
      <c r="A18" s="1"/>
      <c r="B18" s="53" t="s">
        <v>36</v>
      </c>
      <c r="C18" s="53"/>
      <c r="D18" s="53"/>
      <c r="E18" s="53"/>
      <c r="F18" s="53"/>
      <c r="G18" s="1"/>
    </row>
    <row r="19" spans="1:7" ht="15" customHeight="1" x14ac:dyDescent="0.25">
      <c r="A19" s="1"/>
      <c r="B19" s="24" t="s">
        <v>33</v>
      </c>
      <c r="C19" s="61"/>
      <c r="D19" s="61"/>
      <c r="E19" s="8">
        <f>'Fane 8.2. Engangstillæg'!C11</f>
        <v>0</v>
      </c>
      <c r="F19" s="61" t="s">
        <v>3</v>
      </c>
      <c r="G19" s="1"/>
    </row>
    <row r="20" spans="1:7" x14ac:dyDescent="0.25">
      <c r="A20" s="1"/>
      <c r="B20" s="24" t="s">
        <v>34</v>
      </c>
      <c r="C20" s="61"/>
      <c r="D20" s="61"/>
      <c r="E20" s="8">
        <f>'Fane 8.2. Engangstillæg'!E11</f>
        <v>0</v>
      </c>
      <c r="F20" s="61" t="s">
        <v>3</v>
      </c>
      <c r="G20" s="1"/>
    </row>
    <row r="21" spans="1:7" x14ac:dyDescent="0.25">
      <c r="A21" s="1"/>
      <c r="B21" s="24" t="s">
        <v>106</v>
      </c>
      <c r="C21" s="61"/>
      <c r="D21" s="61"/>
      <c r="E21" s="8">
        <f>-SUM(E19:E20)*'Fane 11. Nøgletal'!C20</f>
        <v>0</v>
      </c>
      <c r="F21" s="61" t="s">
        <v>3</v>
      </c>
      <c r="G21" s="1"/>
    </row>
    <row r="22" spans="1:7" ht="15" customHeight="1" x14ac:dyDescent="0.25">
      <c r="A22" s="1"/>
      <c r="B22" s="66" t="s">
        <v>37</v>
      </c>
      <c r="C22" s="28"/>
      <c r="D22" s="28"/>
      <c r="E22" s="9">
        <f>SUM(E19:E21)</f>
        <v>0</v>
      </c>
      <c r="F22" s="54" t="s">
        <v>3</v>
      </c>
      <c r="G22" s="1"/>
    </row>
    <row r="23" spans="1:7" x14ac:dyDescent="0.25">
      <c r="A23" s="1"/>
      <c r="B23" s="53" t="s">
        <v>62</v>
      </c>
      <c r="C23" s="53"/>
      <c r="D23" s="53"/>
      <c r="E23" s="53"/>
      <c r="F23" s="53"/>
      <c r="G23" s="1"/>
    </row>
    <row r="24" spans="1:7" x14ac:dyDescent="0.25">
      <c r="A24" s="1"/>
      <c r="B24" s="66" t="s">
        <v>63</v>
      </c>
      <c r="C24" s="31"/>
      <c r="D24" s="31"/>
      <c r="E24" s="9">
        <f>'Fane 5. Kontrol af ØR2021'!E30</f>
        <v>-1069209.1461528933</v>
      </c>
      <c r="F24" s="54" t="s">
        <v>3</v>
      </c>
      <c r="G24" s="1"/>
    </row>
    <row r="25" spans="1:7" x14ac:dyDescent="0.25">
      <c r="A25" s="1"/>
      <c r="B25" s="53" t="s">
        <v>75</v>
      </c>
      <c r="C25" s="53"/>
      <c r="D25" s="53"/>
      <c r="E25" s="53"/>
      <c r="F25" s="53"/>
      <c r="G25" s="1"/>
    </row>
    <row r="26" spans="1:7" x14ac:dyDescent="0.25">
      <c r="A26" s="1"/>
      <c r="B26" s="54" t="s">
        <v>76</v>
      </c>
      <c r="C26" s="54"/>
      <c r="D26" s="54"/>
      <c r="E26" s="9">
        <f>'Fane 6. Skattesagen'!G12</f>
        <v>0</v>
      </c>
      <c r="F26" s="54" t="s">
        <v>3</v>
      </c>
      <c r="G26" s="1"/>
    </row>
    <row r="27" spans="1:7" x14ac:dyDescent="0.25">
      <c r="A27" s="1"/>
      <c r="B27" s="53" t="s">
        <v>39</v>
      </c>
      <c r="C27" s="53"/>
      <c r="D27" s="53"/>
      <c r="E27" s="10">
        <f>SUM(E15:E17:E22:E24:E26)</f>
        <v>14328558.94523423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WECNDcoccaNjIcqFDxoZIKe9oa+4xBmbtt3qDBdY6kwZPtLZLoU1NbQYLC2WeO5Cjuk/yH8tFtJSyMu7sVWSWg==" saltValue="kSBGkFHufpuhk2l55hze2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56</v>
      </c>
      <c r="C8" s="61"/>
      <c r="D8" s="61"/>
      <c r="E8" s="7">
        <f>'Fane 2.1. Økonomisk ramme 2023'!E15</f>
        <v>10306813.794498323</v>
      </c>
      <c r="F8" s="61" t="s">
        <v>3</v>
      </c>
      <c r="G8" s="1"/>
    </row>
    <row r="9" spans="1:7" ht="15" customHeight="1" x14ac:dyDescent="0.25">
      <c r="A9" s="1"/>
      <c r="B9" s="52" t="s">
        <v>17</v>
      </c>
      <c r="C9" s="61"/>
      <c r="D9" s="61"/>
      <c r="E9" s="8">
        <f>SUM(E8:E8)*'Fane 11. Nøgletal'!C15</f>
        <v>366922.57108414028</v>
      </c>
      <c r="F9" s="61" t="s">
        <v>3</v>
      </c>
      <c r="G9" s="1"/>
    </row>
    <row r="10" spans="1:7" ht="15" customHeight="1" x14ac:dyDescent="0.25">
      <c r="A10" s="1"/>
      <c r="B10" s="52" t="s">
        <v>44</v>
      </c>
      <c r="C10" s="61"/>
      <c r="D10" s="61"/>
      <c r="E10" s="8">
        <f>-SUM(E8:E9)*'Fane 11. Nøgletal'!C20</f>
        <v>-181453.51821490188</v>
      </c>
      <c r="F10" s="61" t="s">
        <v>3</v>
      </c>
      <c r="G10" s="1"/>
    </row>
    <row r="11" spans="1:7" ht="15" customHeight="1" x14ac:dyDescent="0.25">
      <c r="A11" s="1"/>
      <c r="B11" s="28" t="s">
        <v>19</v>
      </c>
      <c r="C11" s="28"/>
      <c r="D11" s="28"/>
      <c r="E11" s="9">
        <f>SUM(E8:E10)</f>
        <v>10492282.84736756</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f>
        <v>5272192.2698580418</v>
      </c>
      <c r="F13" s="54" t="s">
        <v>3</v>
      </c>
      <c r="G13" s="1"/>
    </row>
    <row r="14" spans="1:7" x14ac:dyDescent="0.25">
      <c r="A14" s="1"/>
      <c r="B14" s="53" t="s">
        <v>62</v>
      </c>
      <c r="C14" s="53"/>
      <c r="D14" s="53"/>
      <c r="E14" s="53"/>
      <c r="F14" s="53"/>
      <c r="G14" s="1"/>
    </row>
    <row r="15" spans="1:7" x14ac:dyDescent="0.25">
      <c r="A15" s="1"/>
      <c r="B15" s="54" t="s">
        <v>77</v>
      </c>
      <c r="C15" s="32"/>
      <c r="D15" s="32"/>
      <c r="E15" s="9">
        <f>'Fane 5. Kontrol af ØR2021'!E30</f>
        <v>-1069209.1461528933</v>
      </c>
      <c r="F15" s="54" t="s">
        <v>3</v>
      </c>
      <c r="G15" s="1"/>
    </row>
    <row r="16" spans="1:7" x14ac:dyDescent="0.25">
      <c r="A16" s="1"/>
      <c r="B16" s="53" t="s">
        <v>75</v>
      </c>
      <c r="C16" s="53"/>
      <c r="D16" s="53"/>
      <c r="E16" s="53"/>
      <c r="F16" s="53"/>
      <c r="G16" s="1"/>
    </row>
    <row r="17" spans="1:7" x14ac:dyDescent="0.25">
      <c r="A17" s="1"/>
      <c r="B17" s="54" t="s">
        <v>76</v>
      </c>
      <c r="C17" s="54"/>
      <c r="D17" s="54"/>
      <c r="E17" s="9">
        <f>'Fane 6. Skattesagen'!G13</f>
        <v>0</v>
      </c>
      <c r="F17" s="54" t="s">
        <v>3</v>
      </c>
      <c r="G17" s="1"/>
    </row>
    <row r="18" spans="1:7" x14ac:dyDescent="0.25">
      <c r="A18" s="1"/>
      <c r="B18" s="53" t="s">
        <v>57</v>
      </c>
      <c r="C18" s="53"/>
      <c r="D18" s="53"/>
      <c r="E18" s="10">
        <f>SUM(E11,E13,E15,E17)</f>
        <v>14695265.971072709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nzweKyUxH+98KbuZncsLWgHzR3hpTasxbKCmBcJoz2c4kdtkb3vyJmbTf2ZtWPZEtPg1WM9TybQAj/jeGlghDw==" saltValue="mbrNbJ50x/y43r60f/umY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65</v>
      </c>
      <c r="C8" s="61"/>
      <c r="D8" s="61"/>
      <c r="E8" s="7">
        <f>'Fane 2.2. Økonomisk ramme 2024'!E11</f>
        <v>10492282.84736756</v>
      </c>
      <c r="F8" s="61" t="s">
        <v>3</v>
      </c>
      <c r="G8" s="1"/>
    </row>
    <row r="9" spans="1:7" ht="15" customHeight="1" x14ac:dyDescent="0.25">
      <c r="A9" s="1"/>
      <c r="B9" s="52" t="s">
        <v>17</v>
      </c>
      <c r="C9" s="61"/>
      <c r="D9" s="61"/>
      <c r="E9" s="8">
        <f>SUM(E8:E8)*'Fane 11. Nøgletal'!C15</f>
        <v>373525.26936628512</v>
      </c>
      <c r="F9" s="61" t="s">
        <v>3</v>
      </c>
      <c r="G9" s="1"/>
    </row>
    <row r="10" spans="1:7" ht="15" customHeight="1" x14ac:dyDescent="0.25">
      <c r="A10" s="1"/>
      <c r="B10" s="52" t="s">
        <v>44</v>
      </c>
      <c r="C10" s="61"/>
      <c r="D10" s="61"/>
      <c r="E10" s="8">
        <f>-SUM(E8:E9)*'Fane 11. Nøgletal'!C20</f>
        <v>-184718.73798447539</v>
      </c>
      <c r="F10" s="61" t="s">
        <v>3</v>
      </c>
      <c r="G10" s="1"/>
    </row>
    <row r="11" spans="1:7" x14ac:dyDescent="0.25">
      <c r="A11" s="1"/>
      <c r="B11" s="28" t="s">
        <v>19</v>
      </c>
      <c r="C11" s="28"/>
      <c r="D11" s="28"/>
      <c r="E11" s="9">
        <f>SUM(E8:E10)</f>
        <v>10681089.378749371</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Nøgletal'!C15)^2</f>
        <v>5459882.3146649888</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Skattesagen'!G14</f>
        <v>0</v>
      </c>
      <c r="F17" s="54" t="s">
        <v>3</v>
      </c>
      <c r="G17" s="1"/>
    </row>
    <row r="18" spans="1:7" x14ac:dyDescent="0.25">
      <c r="A18" s="1"/>
      <c r="B18" s="53" t="s">
        <v>66</v>
      </c>
      <c r="C18" s="53"/>
      <c r="D18" s="53"/>
      <c r="E18" s="10">
        <f>SUM(E11,E13,E15,E17)</f>
        <v>16140971.69341436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XKoXINCGlJGWP8QIJItsSSIlanQTsPo7PdpVVhMob5F1MCg0ZgHsBmzCMUtudveCaBvdoWFAdPuE89+julK4PQ==" saltValue="ZWOmCOPH2DFkYpMbANM78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86</v>
      </c>
      <c r="C8" s="61"/>
      <c r="D8" s="61"/>
      <c r="E8" s="7">
        <f>'Fane 2.3. Økonomisk ramme 2025'!E11</f>
        <v>10681089.378749371</v>
      </c>
      <c r="F8" s="61" t="s">
        <v>3</v>
      </c>
      <c r="G8" s="1"/>
    </row>
    <row r="9" spans="1:7" ht="15" customHeight="1" x14ac:dyDescent="0.25">
      <c r="A9" s="1"/>
      <c r="B9" s="52" t="s">
        <v>17</v>
      </c>
      <c r="C9" s="61"/>
      <c r="D9" s="61"/>
      <c r="E9" s="8">
        <f>SUM(E8:E8)*'Fane 11. Nøgletal'!C15</f>
        <v>380246.78188347758</v>
      </c>
      <c r="F9" s="61" t="s">
        <v>3</v>
      </c>
      <c r="G9" s="1"/>
    </row>
    <row r="10" spans="1:7" ht="15" customHeight="1" x14ac:dyDescent="0.25">
      <c r="A10" s="1"/>
      <c r="B10" s="52" t="s">
        <v>44</v>
      </c>
      <c r="C10" s="61"/>
      <c r="D10" s="61"/>
      <c r="E10" s="8">
        <f>-SUM(E8:E9)*'Fane 11. Nøgletal'!C20</f>
        <v>-188042.71473075845</v>
      </c>
      <c r="F10" s="61" t="s">
        <v>3</v>
      </c>
      <c r="G10" s="1"/>
    </row>
    <row r="11" spans="1:7" x14ac:dyDescent="0.25">
      <c r="A11" s="1"/>
      <c r="B11" s="28" t="s">
        <v>19</v>
      </c>
      <c r="C11" s="28"/>
      <c r="D11" s="28"/>
      <c r="E11" s="9">
        <f>SUM(E8:E10)</f>
        <v>10873293.445902091</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Nøgletal'!C15)^3</f>
        <v>5654254.1250670627</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Skattesagen'!G15</f>
        <v>0</v>
      </c>
      <c r="F17" s="54" t="s">
        <v>3</v>
      </c>
      <c r="G17" s="1"/>
    </row>
    <row r="18" spans="1:7" x14ac:dyDescent="0.25">
      <c r="A18" s="1"/>
      <c r="B18" s="53" t="s">
        <v>87</v>
      </c>
      <c r="C18" s="53"/>
      <c r="D18" s="53"/>
      <c r="E18" s="10">
        <f>SUM(E11,E13,E15,E17)</f>
        <v>16527547.570969153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oo5wS70nzHh1NIjAeCm4p5ufFoBYmw3/Qi92dB7cLYSoIHvbwmiyM9bJIg5RMoh0ibNGyplGhJ0h6TFLTUGvIA==" saltValue="BZzc8/Akv/es0QV1Cex0c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9.2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89</v>
      </c>
      <c r="C8" s="53"/>
      <c r="D8" s="53"/>
      <c r="E8" s="53"/>
      <c r="F8" s="53"/>
      <c r="G8" s="1"/>
    </row>
    <row r="9" spans="1:7" x14ac:dyDescent="0.25">
      <c r="A9" s="1"/>
      <c r="B9" s="93" t="s">
        <v>22</v>
      </c>
      <c r="C9" s="93"/>
      <c r="D9" s="93"/>
      <c r="E9" s="7">
        <v>10018762.874599349</v>
      </c>
      <c r="F9" s="61" t="s">
        <v>3</v>
      </c>
      <c r="G9" s="1"/>
    </row>
    <row r="10" spans="1:7" x14ac:dyDescent="0.25">
      <c r="A10" s="1"/>
      <c r="B10" s="95" t="s">
        <v>103</v>
      </c>
      <c r="C10" s="96"/>
      <c r="D10" s="97"/>
      <c r="E10" s="7">
        <v>0</v>
      </c>
      <c r="F10" s="61" t="s">
        <v>3</v>
      </c>
      <c r="G10" s="1"/>
    </row>
    <row r="11" spans="1:7" x14ac:dyDescent="0.25">
      <c r="A11" s="1"/>
      <c r="B11" s="94" t="s">
        <v>50</v>
      </c>
      <c r="C11" s="94"/>
      <c r="D11" s="94"/>
      <c r="E11" s="7">
        <v>18240.997300000003</v>
      </c>
      <c r="F11" s="61" t="s">
        <v>3</v>
      </c>
      <c r="G11" s="1"/>
    </row>
    <row r="12" spans="1:7" x14ac:dyDescent="0.25">
      <c r="A12" s="1"/>
      <c r="B12" s="94" t="s">
        <v>54</v>
      </c>
      <c r="C12" s="94"/>
      <c r="D12" s="94"/>
      <c r="E12" s="7">
        <v>0</v>
      </c>
      <c r="F12" s="61" t="s">
        <v>3</v>
      </c>
      <c r="G12" s="1"/>
    </row>
    <row r="13" spans="1:7" x14ac:dyDescent="0.25">
      <c r="A13" s="1"/>
      <c r="B13" s="94" t="s">
        <v>51</v>
      </c>
      <c r="C13" s="94"/>
      <c r="D13" s="94"/>
      <c r="E13" s="8">
        <v>0</v>
      </c>
      <c r="F13" s="61" t="s">
        <v>3</v>
      </c>
      <c r="G13" s="1"/>
    </row>
    <row r="14" spans="1:7" x14ac:dyDescent="0.25">
      <c r="A14" s="1"/>
      <c r="B14" s="94" t="s">
        <v>17</v>
      </c>
      <c r="C14" s="94"/>
      <c r="D14" s="94"/>
      <c r="E14" s="8">
        <f>E9*'Fane 11. Nøgletal'!C13+SUM(E11:E13)*'Fane 11. Nøgletal'!C14</f>
        <v>122289.10236120207</v>
      </c>
      <c r="F14" s="61" t="s">
        <v>3</v>
      </c>
      <c r="G14" s="1"/>
    </row>
    <row r="15" spans="1:7" x14ac:dyDescent="0.25">
      <c r="A15" s="1"/>
      <c r="B15" s="94" t="s">
        <v>44</v>
      </c>
      <c r="C15" s="94"/>
      <c r="D15" s="94"/>
      <c r="E15" s="8">
        <f>-SUM(E9:E14)*'Fane 11. Nøgletal'!C20</f>
        <v>-172707.98056242938</v>
      </c>
      <c r="F15" s="61" t="s">
        <v>3</v>
      </c>
      <c r="G15" s="1"/>
    </row>
    <row r="16" spans="1:7" x14ac:dyDescent="0.25">
      <c r="A16" s="1"/>
      <c r="B16" s="99" t="s">
        <v>19</v>
      </c>
      <c r="C16" s="99"/>
      <c r="D16" s="99"/>
      <c r="E16" s="33">
        <f>SUM(E9:E15)</f>
        <v>9986584.993698122</v>
      </c>
      <c r="F16" s="34" t="s">
        <v>3</v>
      </c>
      <c r="G16" s="1"/>
    </row>
    <row r="17" spans="1:7" x14ac:dyDescent="0.25">
      <c r="A17" s="1"/>
      <c r="B17" s="100" t="s">
        <v>11</v>
      </c>
      <c r="C17" s="100"/>
      <c r="D17" s="100"/>
      <c r="E17" s="53"/>
      <c r="F17" s="53"/>
      <c r="G17" s="1"/>
    </row>
    <row r="18" spans="1:7" x14ac:dyDescent="0.25">
      <c r="A18" s="1"/>
      <c r="B18" s="101" t="s">
        <v>11</v>
      </c>
      <c r="C18" s="101"/>
      <c r="D18" s="101"/>
      <c r="E18" s="9">
        <v>4893043.934699011</v>
      </c>
      <c r="F18" s="54" t="s">
        <v>3</v>
      </c>
      <c r="G18" s="1"/>
    </row>
    <row r="19" spans="1:7" ht="15.4" customHeight="1" x14ac:dyDescent="0.25">
      <c r="A19" s="1"/>
      <c r="B19" s="53" t="s">
        <v>36</v>
      </c>
      <c r="C19" s="53"/>
      <c r="D19" s="53"/>
      <c r="E19" s="53"/>
      <c r="F19" s="53"/>
      <c r="G19" s="1"/>
    </row>
    <row r="20" spans="1:7" ht="15.75" customHeight="1" x14ac:dyDescent="0.25">
      <c r="A20" s="1"/>
      <c r="B20" s="102" t="s">
        <v>33</v>
      </c>
      <c r="C20" s="103"/>
      <c r="D20" s="104"/>
      <c r="E20" s="74">
        <v>0</v>
      </c>
      <c r="F20" s="27" t="s">
        <v>3</v>
      </c>
      <c r="G20" s="1"/>
    </row>
    <row r="21" spans="1:7" x14ac:dyDescent="0.25">
      <c r="A21" s="1"/>
      <c r="B21" s="102" t="s">
        <v>34</v>
      </c>
      <c r="C21" s="103"/>
      <c r="D21" s="104"/>
      <c r="E21" s="74">
        <v>0</v>
      </c>
      <c r="F21" s="27" t="s">
        <v>3</v>
      </c>
      <c r="G21" s="1"/>
    </row>
    <row r="22" spans="1:7" x14ac:dyDescent="0.25">
      <c r="A22" s="1"/>
      <c r="B22" s="105" t="s">
        <v>37</v>
      </c>
      <c r="C22" s="106"/>
      <c r="D22" s="107"/>
      <c r="E22" s="9">
        <f>SUM(E20:E21)</f>
        <v>0</v>
      </c>
      <c r="F22" s="9" t="s">
        <v>3</v>
      </c>
      <c r="G22" s="1"/>
    </row>
    <row r="23" spans="1:7" ht="15.75" customHeight="1" x14ac:dyDescent="0.25">
      <c r="A23" s="1"/>
      <c r="B23" s="53" t="s">
        <v>62</v>
      </c>
      <c r="C23" s="53"/>
      <c r="D23" s="53"/>
      <c r="E23" s="53"/>
      <c r="F23" s="53"/>
      <c r="G23" s="1"/>
    </row>
    <row r="24" spans="1:7" x14ac:dyDescent="0.25">
      <c r="A24" s="1"/>
      <c r="B24" s="66" t="s">
        <v>27</v>
      </c>
      <c r="C24" s="28"/>
      <c r="D24" s="28"/>
      <c r="E24" s="9">
        <v>1472902.2135431205</v>
      </c>
      <c r="F24" s="54" t="s">
        <v>3</v>
      </c>
      <c r="G24" s="1"/>
    </row>
    <row r="25" spans="1:7" x14ac:dyDescent="0.25">
      <c r="A25" s="1"/>
      <c r="B25" s="66" t="s">
        <v>63</v>
      </c>
      <c r="C25" s="28"/>
      <c r="D25" s="28"/>
      <c r="E25" s="9">
        <v>-71201.618731291965</v>
      </c>
      <c r="F25" s="54" t="s">
        <v>3</v>
      </c>
      <c r="G25" s="1"/>
    </row>
    <row r="26" spans="1:7" x14ac:dyDescent="0.25">
      <c r="A26" s="1"/>
      <c r="B26" s="53" t="s">
        <v>75</v>
      </c>
      <c r="C26" s="53"/>
      <c r="D26" s="53"/>
      <c r="E26" s="53"/>
      <c r="F26" s="53"/>
      <c r="G26" s="1"/>
    </row>
    <row r="27" spans="1:7" x14ac:dyDescent="0.25">
      <c r="A27" s="1"/>
      <c r="B27" s="108" t="s">
        <v>76</v>
      </c>
      <c r="C27" s="109"/>
      <c r="D27" s="110"/>
      <c r="E27" s="9">
        <f>'Fane 6. Skattesagen'!G11</f>
        <v>0</v>
      </c>
      <c r="F27" s="54" t="s">
        <v>3</v>
      </c>
      <c r="G27" s="1"/>
    </row>
    <row r="28" spans="1:7" ht="15" customHeight="1" x14ac:dyDescent="0.25">
      <c r="A28" s="1"/>
      <c r="B28" s="35" t="s">
        <v>145</v>
      </c>
      <c r="C28" s="35"/>
      <c r="D28" s="35"/>
      <c r="E28" s="36">
        <f>E16+E18+E22+E24+E25+E27</f>
        <v>16281329.523208963</v>
      </c>
      <c r="F28" s="37" t="s">
        <v>3</v>
      </c>
      <c r="G28" s="1"/>
    </row>
    <row r="29" spans="1:7" ht="27" customHeight="1" x14ac:dyDescent="0.25">
      <c r="A29" s="1"/>
      <c r="B29" s="98" t="s">
        <v>90</v>
      </c>
      <c r="C29" s="98"/>
      <c r="D29" s="98"/>
      <c r="E29" s="98"/>
      <c r="F29" s="98"/>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A8WqMoq7W20cfgWDZVvFxWwpEMrBZw5x33fD1FabXYKYitqdbYKofe2LfZ4r7PWWzgZJSix3mbv6uX3lrBVo/Q==" saltValue="GGOM4d1WlAvWy5xZNBZSq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4" t="s">
        <v>109</v>
      </c>
      <c r="D9" s="54"/>
      <c r="E9" s="1"/>
      <c r="F9" s="1"/>
    </row>
    <row r="10" spans="1:6" x14ac:dyDescent="0.25">
      <c r="A10" s="1"/>
      <c r="B10" s="23" t="s">
        <v>127</v>
      </c>
      <c r="C10" s="8">
        <v>4725058</v>
      </c>
      <c r="D10" s="12" t="s">
        <v>3</v>
      </c>
      <c r="E10" s="1"/>
      <c r="F10" s="1"/>
    </row>
    <row r="11" spans="1:6" x14ac:dyDescent="0.25">
      <c r="A11" s="1"/>
      <c r="B11" s="23" t="s">
        <v>128</v>
      </c>
      <c r="C11" s="8">
        <v>21897</v>
      </c>
      <c r="D11" s="12" t="s">
        <v>3</v>
      </c>
      <c r="E11" s="1"/>
      <c r="F11" s="1"/>
    </row>
    <row r="12" spans="1:6" x14ac:dyDescent="0.25">
      <c r="A12" s="1"/>
      <c r="B12" s="72" t="s">
        <v>92</v>
      </c>
      <c r="C12" s="10">
        <f>SUM(C10:C11)</f>
        <v>4746955</v>
      </c>
      <c r="D12" s="11" t="s">
        <v>3</v>
      </c>
      <c r="E12" s="1"/>
      <c r="F12" s="1"/>
    </row>
    <row r="13" spans="1:6" x14ac:dyDescent="0.25">
      <c r="A13" s="1"/>
      <c r="B13" s="72" t="s">
        <v>93</v>
      </c>
      <c r="C13" s="10">
        <f>C12*(1+'Fane 11. Nøgletal'!C15)^2</f>
        <v>5090954.2968888003</v>
      </c>
      <c r="D13" s="11" t="s">
        <v>3</v>
      </c>
      <c r="E13" s="1"/>
      <c r="F13" s="1"/>
    </row>
    <row r="14" spans="1:6" x14ac:dyDescent="0.25">
      <c r="A14" s="1"/>
      <c r="B14" s="14"/>
      <c r="C14" s="13"/>
      <c r="D14" s="13"/>
      <c r="E14" s="1"/>
      <c r="F14" s="1"/>
    </row>
    <row r="15" spans="1:6" x14ac:dyDescent="0.25">
      <c r="A15" s="1"/>
      <c r="B15" s="14"/>
      <c r="C15" s="13"/>
      <c r="D15" s="13"/>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Xmpi+7Fcz26x5Q2zHt/3826CZOgzdYvSmPcJfOKCh4f0teUYLcpPJHKStZa6GkBe/1TLSSzHdMPdXeNNxBQDNw==" saltValue="kdQajHMe+KVpKYkOUb8I3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151</v>
      </c>
      <c r="C3" s="92"/>
      <c r="D3" s="92"/>
      <c r="E3" s="92"/>
      <c r="F3" s="92"/>
      <c r="G3" s="1"/>
    </row>
    <row r="4" spans="1:7" ht="15" customHeight="1" x14ac:dyDescent="0.25">
      <c r="A4" s="1"/>
      <c r="B4" s="92"/>
      <c r="C4" s="92"/>
      <c r="D4" s="92"/>
      <c r="E4" s="92"/>
      <c r="F4" s="92"/>
      <c r="G4" s="1"/>
    </row>
    <row r="5" spans="1:7" ht="15" customHeight="1" x14ac:dyDescent="0.25">
      <c r="A5" s="1"/>
      <c r="B5" s="60"/>
      <c r="C5" s="60"/>
      <c r="D5" s="60"/>
      <c r="E5" s="60"/>
      <c r="F5" s="60"/>
      <c r="G5" s="1"/>
    </row>
    <row r="6" spans="1:7" ht="15" customHeight="1" x14ac:dyDescent="0.25">
      <c r="A6" s="1"/>
      <c r="B6" s="60"/>
      <c r="C6" s="60"/>
      <c r="D6" s="60"/>
      <c r="E6" s="60"/>
      <c r="F6" s="60"/>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-1800618.8174578436</v>
      </c>
      <c r="F9" s="12" t="s">
        <v>3</v>
      </c>
      <c r="G9" s="1"/>
    </row>
    <row r="10" spans="1:7" x14ac:dyDescent="0.25">
      <c r="A10" s="1"/>
      <c r="B10" s="118" t="s">
        <v>129</v>
      </c>
      <c r="C10" s="119"/>
      <c r="D10" s="120"/>
      <c r="E10" s="8">
        <v>-1800618.8174578436</v>
      </c>
      <c r="F10" s="12" t="s">
        <v>3</v>
      </c>
      <c r="G10" s="1"/>
    </row>
    <row r="11" spans="1:7" x14ac:dyDescent="0.25">
      <c r="A11" s="1"/>
      <c r="B11" s="72"/>
      <c r="C11" s="22"/>
      <c r="D11" s="22"/>
      <c r="E11" s="22"/>
      <c r="F11" s="73"/>
      <c r="G11" s="1"/>
    </row>
    <row r="12" spans="1:7" ht="68.25" customHeight="1" x14ac:dyDescent="0.25">
      <c r="A12" s="1"/>
      <c r="B12" s="124" t="s">
        <v>148</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f>-450154.704364461*2</f>
        <v>-900309.40872892202</v>
      </c>
      <c r="F15" s="12" t="s">
        <v>3</v>
      </c>
      <c r="G15" s="1"/>
    </row>
    <row r="16" spans="1:7" x14ac:dyDescent="0.25">
      <c r="A16" s="1"/>
      <c r="B16" s="118" t="s">
        <v>130</v>
      </c>
      <c r="C16" s="119"/>
      <c r="D16" s="120"/>
      <c r="E16" s="8">
        <f>-450154.704364461*2</f>
        <v>-900309.40872892202</v>
      </c>
      <c r="F16" s="12" t="s">
        <v>3</v>
      </c>
      <c r="G16" s="1"/>
    </row>
    <row r="17" spans="1:7" x14ac:dyDescent="0.25">
      <c r="A17" s="1"/>
      <c r="B17" s="72"/>
      <c r="C17" s="22"/>
      <c r="D17" s="22"/>
      <c r="E17" s="22"/>
      <c r="F17" s="73"/>
      <c r="G17" s="1"/>
    </row>
    <row r="18" spans="1:7" ht="31.5" customHeight="1" x14ac:dyDescent="0.25">
      <c r="A18" s="1"/>
      <c r="B18" s="124" t="s">
        <v>149</v>
      </c>
      <c r="C18" s="125"/>
      <c r="D18" s="125"/>
      <c r="E18" s="125"/>
      <c r="F18" s="126"/>
      <c r="G18" s="1"/>
    </row>
    <row r="19" spans="1:7" ht="28.5" customHeight="1" x14ac:dyDescent="0.25">
      <c r="A19" s="1"/>
      <c r="B19" s="1"/>
      <c r="C19" s="1"/>
      <c r="D19" s="1"/>
      <c r="E19" s="1"/>
      <c r="F19" s="1"/>
      <c r="G19" s="1"/>
    </row>
    <row r="20" spans="1:7" ht="28.5" customHeight="1" x14ac:dyDescent="0.25">
      <c r="A20" s="1"/>
      <c r="B20" s="63" t="s">
        <v>96</v>
      </c>
      <c r="C20" s="64"/>
      <c r="D20" s="64"/>
      <c r="E20" s="64"/>
      <c r="F20" s="65"/>
      <c r="G20" s="1"/>
    </row>
    <row r="21" spans="1:7" x14ac:dyDescent="0.25">
      <c r="A21" s="1"/>
      <c r="B21" s="67" t="s">
        <v>97</v>
      </c>
      <c r="C21" s="68"/>
      <c r="D21" s="69"/>
      <c r="E21" s="8">
        <v>16523210.525152057</v>
      </c>
      <c r="F21" s="12" t="s">
        <v>3</v>
      </c>
      <c r="G21" s="1"/>
    </row>
    <row r="22" spans="1:7" x14ac:dyDescent="0.25">
      <c r="A22" s="1"/>
      <c r="B22" s="67" t="s">
        <v>131</v>
      </c>
      <c r="C22" s="68"/>
      <c r="D22" s="69"/>
      <c r="E22" s="8">
        <v>17126010</v>
      </c>
      <c r="F22" s="12" t="s">
        <v>3</v>
      </c>
      <c r="G22" s="1"/>
    </row>
    <row r="23" spans="1:7" x14ac:dyDescent="0.25">
      <c r="A23" s="1"/>
      <c r="B23" s="67" t="s">
        <v>26</v>
      </c>
      <c r="C23" s="68"/>
      <c r="D23" s="69"/>
      <c r="E23" s="8">
        <v>265000</v>
      </c>
      <c r="F23" s="12" t="s">
        <v>3</v>
      </c>
      <c r="G23" s="1"/>
    </row>
    <row r="24" spans="1:7" x14ac:dyDescent="0.25">
      <c r="A24" s="1"/>
      <c r="B24" s="55" t="s">
        <v>150</v>
      </c>
      <c r="C24" s="56"/>
      <c r="D24" s="57"/>
      <c r="E24" s="50">
        <f>E21-(E22-E23)</f>
        <v>-337799.47484794259</v>
      </c>
      <c r="F24" s="15" t="s">
        <v>3</v>
      </c>
      <c r="G24" s="1"/>
    </row>
    <row r="25" spans="1:7" x14ac:dyDescent="0.25">
      <c r="A25" s="1"/>
      <c r="B25" s="72"/>
      <c r="C25" s="22"/>
      <c r="D25" s="22"/>
      <c r="E25" s="22"/>
      <c r="F25" s="73"/>
      <c r="G25" s="1"/>
    </row>
    <row r="26" spans="1:7" ht="33.75" customHeight="1" x14ac:dyDescent="0.25">
      <c r="A26" s="1"/>
      <c r="B26" s="1"/>
      <c r="C26" s="1"/>
      <c r="D26" s="1"/>
      <c r="E26" s="1"/>
      <c r="F26" s="1"/>
      <c r="G26" s="1"/>
    </row>
    <row r="27" spans="1:7" ht="28.5" customHeight="1" x14ac:dyDescent="0.25">
      <c r="A27" s="1"/>
      <c r="B27" s="111" t="s">
        <v>132</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-2138418.2923057866</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-1069209.1461528933</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B36" s="30"/>
      <c r="C36" s="30"/>
      <c r="D36" s="30"/>
      <c r="E36" s="30"/>
      <c r="F36" s="30"/>
    </row>
    <row r="37" spans="1:7" x14ac:dyDescent="0.25">
      <c r="A37" s="30"/>
      <c r="B37" s="30"/>
      <c r="C37" s="30"/>
      <c r="D37" s="30"/>
      <c r="E37" s="30"/>
      <c r="F37" s="30"/>
      <c r="G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sheetData>
  <sheetProtection algorithmName="SHA-512" hashValue="vPhe1dzkbVmqgnYfE1BzVQfvrARm/+/oKyIZYdHZqjFhusQxAxAPVsUEZisqRPNxJUIJrtjEecZzVzOPmaSgZg==" saltValue="TIBdbo9CU5A9ewBCA0Gnk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8" t="s">
        <v>124</v>
      </c>
      <c r="C9" s="109"/>
      <c r="D9" s="109"/>
      <c r="E9" s="109"/>
      <c r="F9" s="109"/>
      <c r="G9" s="109"/>
      <c r="H9" s="110"/>
      <c r="I9" s="1"/>
    </row>
    <row r="10" spans="1:9" x14ac:dyDescent="0.25">
      <c r="A10" s="1"/>
      <c r="B10" s="95" t="s">
        <v>136</v>
      </c>
      <c r="C10" s="96"/>
      <c r="D10" s="96"/>
      <c r="E10" s="96"/>
      <c r="F10" s="97"/>
      <c r="G10" s="51">
        <v>0</v>
      </c>
      <c r="H10" s="8" t="s">
        <v>3</v>
      </c>
      <c r="I10" s="1"/>
    </row>
    <row r="11" spans="1:9" x14ac:dyDescent="0.25">
      <c r="A11" s="1"/>
      <c r="B11" s="95" t="s">
        <v>137</v>
      </c>
      <c r="C11" s="96"/>
      <c r="D11" s="96"/>
      <c r="E11" s="96"/>
      <c r="F11" s="97"/>
      <c r="G11" s="51">
        <v>0</v>
      </c>
      <c r="H11" s="8" t="s">
        <v>3</v>
      </c>
      <c r="I11" s="1"/>
    </row>
    <row r="12" spans="1:9" x14ac:dyDescent="0.25">
      <c r="A12" s="1"/>
      <c r="B12" s="95" t="s">
        <v>138</v>
      </c>
      <c r="C12" s="96"/>
      <c r="D12" s="96"/>
      <c r="E12" s="96"/>
      <c r="F12" s="97"/>
      <c r="G12" s="8">
        <v>0</v>
      </c>
      <c r="H12" s="8" t="s">
        <v>3</v>
      </c>
      <c r="I12" s="1"/>
    </row>
    <row r="13" spans="1:9" x14ac:dyDescent="0.25">
      <c r="A13" s="1"/>
      <c r="B13" s="95" t="s">
        <v>139</v>
      </c>
      <c r="C13" s="96"/>
      <c r="D13" s="96"/>
      <c r="E13" s="96"/>
      <c r="F13" s="97"/>
      <c r="G13" s="8">
        <v>0</v>
      </c>
      <c r="H13" s="8" t="s">
        <v>3</v>
      </c>
      <c r="I13" s="1"/>
    </row>
    <row r="14" spans="1:9" x14ac:dyDescent="0.25">
      <c r="A14" s="1"/>
      <c r="B14" s="95" t="s">
        <v>140</v>
      </c>
      <c r="C14" s="96"/>
      <c r="D14" s="96"/>
      <c r="E14" s="96"/>
      <c r="F14" s="97"/>
      <c r="G14" s="8">
        <v>0</v>
      </c>
      <c r="H14" s="8" t="s">
        <v>3</v>
      </c>
      <c r="I14" s="1"/>
    </row>
    <row r="15" spans="1:9" x14ac:dyDescent="0.25">
      <c r="A15" s="1"/>
      <c r="B15" s="95" t="s">
        <v>141</v>
      </c>
      <c r="C15" s="96"/>
      <c r="D15" s="96"/>
      <c r="E15" s="96"/>
      <c r="F15" s="97"/>
      <c r="G15" s="8">
        <v>0</v>
      </c>
      <c r="H15" s="8" t="s">
        <v>3</v>
      </c>
      <c r="I15" s="1"/>
    </row>
    <row r="16" spans="1:9" x14ac:dyDescent="0.25">
      <c r="A16" s="1"/>
      <c r="B16" s="95" t="s">
        <v>142</v>
      </c>
      <c r="C16" s="96"/>
      <c r="D16" s="96"/>
      <c r="E16" s="96"/>
      <c r="F16" s="97"/>
      <c r="G16" s="8">
        <v>0</v>
      </c>
      <c r="H16" s="8" t="s">
        <v>3</v>
      </c>
      <c r="I16" s="1"/>
    </row>
    <row r="17" spans="1:9" x14ac:dyDescent="0.25">
      <c r="A17" s="1"/>
      <c r="B17" s="95" t="s">
        <v>143</v>
      </c>
      <c r="C17" s="96"/>
      <c r="D17" s="96"/>
      <c r="E17" s="96"/>
      <c r="F17" s="97"/>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QLOO6h2BL3VJKZ81WSt9cUnOj8bXM9hrfk9SmbrrbZ45XaaSMbfigYlYooKxEXw4+inut1szMOV3HfMn+f198Q==" saltValue="nLWs4hO9IKYjiDVwWkjsZ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2022-08-29T10:48:30Z</dcterms:modified>
</cp:coreProperties>
</file>