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Ringsted Vand AS (V154)\ØR2025\"/>
    </mc:Choice>
  </mc:AlternateContent>
  <xr:revisionPtr revIDLastSave="0" documentId="13_ncr:1_{07194B12-1F3D-436B-A29B-6D85DE86AE90}"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ØR2024'!$C$36</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ØR2024'!$B$8:$D$36</definedName>
    <definedName name="ØR24total">'Fane 3. Omkostninger i ØR2024'!$C$36</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16" i="41" l="1"/>
  <c r="C24" i="41" l="1"/>
  <c r="C10" i="36" l="1"/>
  <c r="C10" i="30"/>
  <c r="C9" i="2" l="1"/>
  <c r="F10" i="11" l="1"/>
  <c r="F11" i="11" s="1"/>
  <c r="C11" i="29"/>
  <c r="C12" i="29" l="1"/>
  <c r="E11" i="29" l="1"/>
  <c r="C20" i="43" l="1"/>
  <c r="E12" i="29" l="1"/>
  <c r="C15" i="41" l="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<sst xmlns="http://schemas.openxmlformats.org/spreadsheetml/2006/main" count="452" uniqueCount="207">
  <si>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</si>
  <si>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</si>
  <si>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</si>
  <si>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</si>
  <si>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</si>
  <si>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</si>
  <si>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</si>
  <si>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</si>
  <si>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</si>
  <si>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</si>
  <si>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</si>
  <si>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</si>
  <si>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</si>
  <si>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</si>
  <si>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</si>
  <si>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</si>
  <si>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</si>
  <si>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</si>
  <si>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</si>
  <si>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</si>
  <si>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</si>
  <si>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</si>
  <si>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</si>
  <si>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</si>
  <si>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</si>
  <si>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</si>
  <si>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</si>
  <si>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</si>
  <si>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</si>
  <si>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</si>
  <si>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</si>
  <si>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</si>
  <si>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</si>
  <si>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</si>
  <si>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</si>
  <si>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</si>
  <si>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</si>
  <si>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</si>
  <si>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</si>
  <si>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</si>
  <si>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</si>
  <si>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</si>
  <si>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</si>
  <si>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</si>
  <si>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</si>
  <si>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</si>
  <si>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</si>
  <si>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</si>
  <si>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</si>
  <si>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</si>
  <si>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</si>
  <si>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</si>
  <si>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</si>
  <si>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</si>
  <si>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</si>
  <si>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</si>
  <si>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</si>
  <si>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</si>
  <si>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</si>
  <si>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</si>
  <si>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</si>
  <si>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</si>
  <si>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</si>
  <si>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</si>
  <si>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</si>
  <si>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</si>
  <si>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</si>
  <si>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</si>
  <si>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</si>
  <si>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</si>
  <si>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</si>
  <si>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</si>
  <si>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</si>
  <si>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</si>
  <si>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</si>
  <si>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</si>
  <si>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</si>
  <si>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</si>
  <si>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</si>
  <si>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</si>
  <si>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</si>
  <si>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</si>
  <si>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</si>
  <si>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</si>
  <si>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</si>
  <si>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</si>
  <si>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</si>
  <si>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</si>
  <si>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</si>
  <si>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</si>
  <si>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</si>
  <si>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</si>
  <si>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</si>
  <si>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</si>
  <si>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</si>
  <si>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</si>
  <si>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</si>
  <si>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</si>
  <si>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</si>
  <si>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</si>
  <si>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</si>
  <si>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</si>
  <si>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</si>
  <si>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</si>
  <si>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</si>
  <si>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</si>
  <si>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</si>
  <si>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</si>
  <si>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</si>
  <si>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</si>
  <si>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</si>
  <si>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</si>
  <si>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</si>
  <si>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</si>
  <si>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</si>
  <si>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</si>
  <si>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</si>
  <si>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</si>
  <si>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</si>
  <si>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</si>
  <si>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</si>
  <si>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</si>
  <si>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</si>
  <si>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</si>
  <si>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</si>
  <si>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</si>
  <si>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</si>
  <si>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</si>
  <si>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</si>
  <si>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</si>
  <si>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</si>
  <si>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</si>
  <si>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</si>
  <si>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</si>
  <si>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</si>
  <si>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</si>
  <si>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</si>
  <si>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</si>
  <si>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</si>
  <si>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</si>
  <si>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</si>
  <si>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</si>
  <si>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</si>
  <si>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</si>
  <si>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</si>
  <si>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</si>
  <si>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</si>
  <si>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</si>
  <si>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</si>
  <si>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</si>
  <si>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</si>
  <si>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</si>
  <si>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</si>
  <si>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</si>
  <si>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</si>
  <si>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</si>
  <si>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</si>
  <si>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</si>
  <si>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</si>
  <si>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</si>
  <si>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</si>
  <si>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</si>
  <si>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</si>
  <si>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</si>
  <si>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</si>
  <si>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</si>
  <si>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</si>
  <si>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</si>
  <si>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</si>
  <si>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</si>
  <si>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</si>
  <si>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</si>
  <si>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</si>
  <si>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</si>
  <si>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</si>
  <si>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</si>
  <si>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</si>
  <si>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</si>
  <si>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</si>
  <si>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</si>
  <si>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</si>
  <si>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</si>
  <si>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</si>
  <si>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</si>
  <si>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</si>
  <si>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</si>
  <si>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</si>
  <si>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</si>
  <si>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</si>
  <si>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</si>
  <si>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</si>
  <si>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</si>
  <si>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</si>
  <si>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Justering af den økonomiske ramme</t>
  </si>
  <si>
    <t>Justering af den økonomiske ramme for stigende el-omkostninger</t>
  </si>
  <si>
    <t xml:space="preserve">Note: Denne opgørelse er taget fra jeres økonomiske ramme for 2024. 
I kan derfor ikke komme med høringssvar til denne opgørelse. </t>
  </si>
  <si>
    <t>Byggemodninger 2023_bilag 1</t>
  </si>
  <si>
    <t>Ingen engangstillæg</t>
  </si>
  <si>
    <t>Prisudvikling til brug for ØR2025-2026</t>
  </si>
  <si>
    <t>Generelt effektiviseringskrav til brug for anlægsomkostninger i ØR2025-2026</t>
  </si>
  <si>
    <t>Til økonomisk ramme for 2025-2026</t>
  </si>
  <si>
    <t>Afgift for ledningsført vand</t>
  </si>
  <si>
    <t>Afgift til Forsyningssekretariatet</t>
  </si>
  <si>
    <t>Køb af ydelser og produkter fra andre vandselskaber reguleret af vandsektorloven</t>
  </si>
  <si>
    <t>Ejendomsskatter</t>
  </si>
  <si>
    <t>Tjenestemandspensioner</t>
  </si>
  <si>
    <t>Vandsamarbejde etableret i medfør af §52b i vandforsyningsloven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</si>
</sst>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1" fontId="8" fillId="0" borderId="1" xfId="1" applyNumberFormat="1" applyFont="1" applyFill="1" applyBorder="1" applyProtection="1"/>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88" t="s">
        <v>4</v>
      </c>
      <c r="D6" s="88"/>
      <c r="E6" s="88"/>
      <c r="F6" s="88"/>
      <c r="G6" s="1"/>
    </row>
    <row r="7" spans="1:7" ht="15" customHeight="1" x14ac:dyDescent="0.25">
      <c r="A7" s="1"/>
      <c r="B7" s="3"/>
      <c r="C7" s="88"/>
      <c r="D7" s="88"/>
      <c r="E7" s="88"/>
      <c r="F7" s="88"/>
      <c r="G7" s="1"/>
    </row>
    <row r="8" spans="1:7" ht="15.75" x14ac:dyDescent="0.25">
      <c r="A8" s="1"/>
      <c r="B8" s="4"/>
      <c r="C8" s="90" t="s">
        <v>200</v>
      </c>
      <c r="D8" s="90"/>
      <c r="E8" s="90"/>
      <c r="F8" s="90"/>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9" t="s">
        <v>5</v>
      </c>
      <c r="D11" s="89"/>
      <c r="E11" s="89"/>
      <c r="F11" s="89"/>
      <c r="G11" s="1"/>
    </row>
    <row r="12" spans="1:7" x14ac:dyDescent="0.25">
      <c r="A12" s="1"/>
      <c r="B12" s="1"/>
      <c r="C12" s="1"/>
      <c r="D12" s="1"/>
      <c r="E12" s="1"/>
      <c r="F12" s="1"/>
      <c r="G12" s="1"/>
    </row>
    <row r="13" spans="1:7" x14ac:dyDescent="0.25">
      <c r="A13" s="1"/>
      <c r="B13" s="6" t="s">
        <v>6</v>
      </c>
      <c r="C13" s="85" t="s">
        <v>124</v>
      </c>
      <c r="D13" s="86"/>
      <c r="E13" s="86"/>
      <c r="F13" s="87"/>
      <c r="G13" s="1"/>
    </row>
    <row r="14" spans="1:7" x14ac:dyDescent="0.25">
      <c r="A14" s="1"/>
      <c r="B14" s="6" t="s">
        <v>14</v>
      </c>
      <c r="C14" s="85" t="s">
        <v>159</v>
      </c>
      <c r="D14" s="86"/>
      <c r="E14" s="86"/>
      <c r="F14" s="87"/>
      <c r="G14" s="1"/>
    </row>
    <row r="15" spans="1:7" x14ac:dyDescent="0.25">
      <c r="A15" s="1"/>
      <c r="B15" s="6" t="s">
        <v>29</v>
      </c>
      <c r="C15" s="85" t="s">
        <v>107</v>
      </c>
      <c r="D15" s="86"/>
      <c r="E15" s="86"/>
      <c r="F15" s="87"/>
      <c r="G15" s="1"/>
    </row>
    <row r="16" spans="1:7" x14ac:dyDescent="0.25">
      <c r="A16" s="1"/>
      <c r="B16" s="6" t="s">
        <v>30</v>
      </c>
      <c r="C16" s="85" t="s">
        <v>125</v>
      </c>
      <c r="D16" s="86"/>
      <c r="E16" s="86"/>
      <c r="F16" s="87"/>
      <c r="G16" s="1"/>
    </row>
    <row r="17" spans="1:7" x14ac:dyDescent="0.25">
      <c r="A17" s="1"/>
      <c r="B17" s="6" t="s">
        <v>57</v>
      </c>
      <c r="C17" s="85" t="s">
        <v>126</v>
      </c>
      <c r="D17" s="86"/>
      <c r="E17" s="86"/>
      <c r="F17" s="87"/>
      <c r="G17" s="1"/>
    </row>
    <row r="18" spans="1:7" x14ac:dyDescent="0.25">
      <c r="A18" s="1"/>
      <c r="B18" s="6" t="s">
        <v>49</v>
      </c>
      <c r="C18" s="91" t="s">
        <v>42</v>
      </c>
      <c r="D18" s="92"/>
      <c r="E18" s="92"/>
      <c r="F18" s="93"/>
      <c r="G18" s="1"/>
    </row>
    <row r="19" spans="1:7" x14ac:dyDescent="0.25">
      <c r="A19" s="1"/>
      <c r="B19" s="6" t="s">
        <v>50</v>
      </c>
      <c r="C19" s="91" t="s">
        <v>43</v>
      </c>
      <c r="D19" s="92"/>
      <c r="E19" s="92"/>
      <c r="F19" s="93"/>
      <c r="G19" s="1"/>
    </row>
    <row r="20" spans="1:7" x14ac:dyDescent="0.25">
      <c r="A20" s="1"/>
      <c r="B20" s="6" t="s">
        <v>7</v>
      </c>
      <c r="C20" s="91" t="s">
        <v>9</v>
      </c>
      <c r="D20" s="92"/>
      <c r="E20" s="92"/>
      <c r="F20" s="93"/>
      <c r="G20" s="1"/>
    </row>
    <row r="21" spans="1:7" x14ac:dyDescent="0.25">
      <c r="A21" s="1"/>
      <c r="B21" s="6" t="s">
        <v>51</v>
      </c>
      <c r="C21" s="82" t="s">
        <v>11</v>
      </c>
      <c r="D21" s="83"/>
      <c r="E21" s="83"/>
      <c r="F21" s="84"/>
      <c r="G21" s="1"/>
    </row>
    <row r="22" spans="1:7" x14ac:dyDescent="0.25">
      <c r="A22" s="1"/>
      <c r="B22" s="6" t="s">
        <v>37</v>
      </c>
      <c r="C22" s="76" t="s">
        <v>127</v>
      </c>
      <c r="D22" s="77"/>
      <c r="E22" s="77"/>
      <c r="F22" s="78"/>
      <c r="G22" s="1"/>
    </row>
    <row r="23" spans="1:7" x14ac:dyDescent="0.25">
      <c r="A23" s="1"/>
      <c r="B23" s="6" t="s">
        <v>8</v>
      </c>
      <c r="C23" s="76" t="s">
        <v>89</v>
      </c>
      <c r="D23" s="77"/>
      <c r="E23" s="77"/>
      <c r="F23" s="78"/>
      <c r="G23" s="1"/>
    </row>
    <row r="24" spans="1:7" x14ac:dyDescent="0.25">
      <c r="A24" s="1"/>
      <c r="B24" s="6" t="s">
        <v>85</v>
      </c>
      <c r="C24" s="76" t="s">
        <v>78</v>
      </c>
      <c r="D24" s="77"/>
      <c r="E24" s="77"/>
      <c r="F24" s="78"/>
      <c r="G24" s="1"/>
    </row>
    <row r="25" spans="1:7" x14ac:dyDescent="0.25">
      <c r="A25" s="1"/>
      <c r="B25" s="6" t="s">
        <v>86</v>
      </c>
      <c r="C25" s="76" t="s">
        <v>38</v>
      </c>
      <c r="D25" s="77"/>
      <c r="E25" s="77"/>
      <c r="F25" s="78"/>
      <c r="G25" s="1"/>
    </row>
    <row r="26" spans="1:7" x14ac:dyDescent="0.25">
      <c r="A26" s="1"/>
      <c r="B26" s="6" t="s">
        <v>87</v>
      </c>
      <c r="C26" s="76" t="s">
        <v>39</v>
      </c>
      <c r="D26" s="77"/>
      <c r="E26" s="77"/>
      <c r="F26" s="78"/>
      <c r="G26" s="1"/>
    </row>
    <row r="27" spans="1:7" x14ac:dyDescent="0.25">
      <c r="A27" s="1"/>
      <c r="B27" s="6" t="s">
        <v>52</v>
      </c>
      <c r="C27" s="76" t="s">
        <v>58</v>
      </c>
      <c r="D27" s="77"/>
      <c r="E27" s="77"/>
      <c r="F27" s="78"/>
      <c r="G27" s="1"/>
    </row>
    <row r="28" spans="1:7" x14ac:dyDescent="0.25">
      <c r="A28" s="1"/>
      <c r="B28" s="6" t="s">
        <v>46</v>
      </c>
      <c r="C28" s="76" t="s">
        <v>31</v>
      </c>
      <c r="D28" s="77"/>
      <c r="E28" s="77"/>
      <c r="F28" s="78"/>
      <c r="G28" s="1"/>
    </row>
    <row r="29" spans="1:7" x14ac:dyDescent="0.25">
      <c r="A29" s="1"/>
      <c r="B29" s="6" t="s">
        <v>88</v>
      </c>
      <c r="C29" s="79" t="s">
        <v>47</v>
      </c>
      <c r="D29" s="80"/>
      <c r="E29" s="80"/>
      <c r="F29" s="8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CsUH/ZUqjlUOBHuDOiMsy/qBs0iidfY8PcT+PjzqQM7fsDT7MRTFNULSUoyngSHNokc/XNRwAVsaUKEQwFA8ZQ==" saltValue="KPS8vWlOIJ6PSqmwDVacpw==" spinCount="100000" sheet="1" objects="1" scenarios="1"/>
  <mergeCells count="20">
    <mergeCell ref="C14:F14"/>
    <mergeCell ref="C6:F7"/>
    <mergeCell ref="C22:F22"/>
    <mergeCell ref="C11:F11"/>
    <mergeCell ref="C8:F8"/>
    <mergeCell ref="C15:F15"/>
    <mergeCell ref="C16:F16"/>
    <mergeCell ref="C13:F13"/>
    <mergeCell ref="C17:F17"/>
    <mergeCell ref="C18:F18"/>
    <mergeCell ref="C19:F19"/>
    <mergeCell ref="C20:F20"/>
    <mergeCell ref="C28:F28"/>
    <mergeCell ref="C29:F29"/>
    <mergeCell ref="C21:F21"/>
    <mergeCell ref="C24:F24"/>
    <mergeCell ref="C25:F25"/>
    <mergeCell ref="C27:F27"/>
    <mergeCell ref="C26:F26"/>
    <mergeCell ref="C23:F23"/>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55</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8" t="s">
        <v>142</v>
      </c>
      <c r="C8" s="99"/>
      <c r="D8" s="100"/>
      <c r="E8" s="1"/>
    </row>
    <row r="9" spans="1:5" ht="15" customHeight="1" x14ac:dyDescent="0.25">
      <c r="A9" s="1"/>
      <c r="B9" s="51" t="s">
        <v>27</v>
      </c>
      <c r="C9" s="45" t="s">
        <v>145</v>
      </c>
      <c r="D9" s="11"/>
      <c r="E9" s="1"/>
    </row>
    <row r="10" spans="1:5" ht="15" customHeight="1" x14ac:dyDescent="0.25">
      <c r="A10" s="1"/>
      <c r="B10" s="64" t="s">
        <v>201</v>
      </c>
      <c r="C10" s="65">
        <v>11641465</v>
      </c>
      <c r="D10" s="14" t="s">
        <v>3</v>
      </c>
      <c r="E10" s="1"/>
    </row>
    <row r="11" spans="1:5" x14ac:dyDescent="0.25">
      <c r="A11" s="1"/>
      <c r="B11" s="64" t="s">
        <v>202</v>
      </c>
      <c r="C11" s="65">
        <v>78788</v>
      </c>
      <c r="D11" s="14" t="s">
        <v>3</v>
      </c>
      <c r="E11" s="1"/>
    </row>
    <row r="12" spans="1:5" ht="25.5" x14ac:dyDescent="0.25">
      <c r="A12" s="1"/>
      <c r="B12" s="64" t="s">
        <v>203</v>
      </c>
      <c r="C12" s="65">
        <v>2981</v>
      </c>
      <c r="D12" s="14" t="s">
        <v>3</v>
      </c>
      <c r="E12" s="1"/>
    </row>
    <row r="13" spans="1:5" x14ac:dyDescent="0.25">
      <c r="A13" s="1"/>
      <c r="B13" s="64" t="s">
        <v>204</v>
      </c>
      <c r="C13" s="65">
        <v>28294</v>
      </c>
      <c r="D13" s="14" t="s">
        <v>3</v>
      </c>
      <c r="E13" s="1"/>
    </row>
    <row r="14" spans="1:5" x14ac:dyDescent="0.25">
      <c r="A14" s="1"/>
      <c r="B14" s="64" t="s">
        <v>205</v>
      </c>
      <c r="C14" s="65">
        <v>64012</v>
      </c>
      <c r="D14" s="14" t="s">
        <v>3</v>
      </c>
      <c r="E14" s="1"/>
    </row>
    <row r="15" spans="1:5" x14ac:dyDescent="0.25">
      <c r="A15" s="1"/>
      <c r="B15" s="64" t="s">
        <v>206</v>
      </c>
      <c r="C15" s="65">
        <v>98319</v>
      </c>
      <c r="D15" s="14" t="s">
        <v>3</v>
      </c>
      <c r="E15" s="1"/>
    </row>
    <row r="16" spans="1:5" x14ac:dyDescent="0.25">
      <c r="A16" s="1"/>
      <c r="B16" s="64"/>
      <c r="C16" s="65"/>
      <c r="D16" s="14" t="s">
        <v>3</v>
      </c>
      <c r="E16" s="1"/>
    </row>
    <row r="17" spans="1:5" x14ac:dyDescent="0.25">
      <c r="A17" s="1"/>
      <c r="B17" s="64"/>
      <c r="C17" s="65"/>
      <c r="D17" s="14" t="s">
        <v>3</v>
      </c>
      <c r="E17" s="1"/>
    </row>
    <row r="18" spans="1:5" x14ac:dyDescent="0.25">
      <c r="A18" s="1"/>
      <c r="B18" s="64"/>
      <c r="C18" s="65"/>
      <c r="D18" s="14" t="s">
        <v>3</v>
      </c>
      <c r="E18" s="1"/>
    </row>
    <row r="19" spans="1:5" x14ac:dyDescent="0.25">
      <c r="A19" s="1"/>
      <c r="B19" s="52" t="s">
        <v>143</v>
      </c>
      <c r="C19" s="12">
        <f>SUM(C10:C18)</f>
        <v>11913859</v>
      </c>
      <c r="D19" s="13" t="s">
        <v>3</v>
      </c>
      <c r="E19" s="1"/>
    </row>
    <row r="20" spans="1:5" x14ac:dyDescent="0.25">
      <c r="A20" s="1"/>
      <c r="B20" s="52" t="s">
        <v>144</v>
      </c>
      <c r="C20" s="12">
        <f>C19*(1+'Fane 13. Nøgletal'!C11)^2</f>
        <v>13546006.334267709</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97pJL5wQ0OemDloAQ12Iu2/YShG0a2ywamWclh+OcZyAvr5eEq41uxVIoQsaNUgsrZI06JndZ3Teq29xdb6ceQ==" saltValue="0zaaD/grlIvXGmlDPtzqnQ=="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6" t="s">
        <v>172</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7"/>
      <c r="C6" s="67"/>
      <c r="D6" s="67"/>
      <c r="E6" s="1"/>
    </row>
    <row r="7" spans="1:5" x14ac:dyDescent="0.25">
      <c r="A7" s="1"/>
      <c r="B7" s="1"/>
      <c r="C7" s="1"/>
      <c r="D7" s="1"/>
      <c r="E7" s="1"/>
    </row>
    <row r="8" spans="1:5" x14ac:dyDescent="0.25">
      <c r="A8" s="1"/>
      <c r="B8" s="98" t="s">
        <v>175</v>
      </c>
      <c r="C8" s="99"/>
      <c r="D8" s="100"/>
      <c r="E8" s="1"/>
    </row>
    <row r="9" spans="1:5" x14ac:dyDescent="0.25">
      <c r="A9" s="1"/>
      <c r="B9" s="56" t="s">
        <v>176</v>
      </c>
      <c r="C9" s="9">
        <v>-229798.72178064287</v>
      </c>
      <c r="D9" s="39" t="s">
        <v>3</v>
      </c>
      <c r="E9" s="1"/>
    </row>
    <row r="10" spans="1:5" x14ac:dyDescent="0.25">
      <c r="A10" s="1"/>
      <c r="B10" s="56" t="s">
        <v>174</v>
      </c>
      <c r="C10" s="9">
        <v>-107416.3736365363</v>
      </c>
      <c r="D10" s="14" t="s">
        <v>3</v>
      </c>
      <c r="E10" s="1"/>
    </row>
    <row r="11" spans="1:5" x14ac:dyDescent="0.25">
      <c r="A11" s="1"/>
      <c r="B11" s="52"/>
      <c r="C11" s="53"/>
      <c r="D11" s="19"/>
      <c r="E11" s="1"/>
    </row>
    <row r="12" spans="1:5" ht="53.85" customHeight="1" x14ac:dyDescent="0.25">
      <c r="A12" s="1"/>
      <c r="B12" s="107" t="s">
        <v>173</v>
      </c>
      <c r="C12" s="108"/>
      <c r="D12" s="109"/>
      <c r="E12" s="1"/>
    </row>
    <row r="13" spans="1:5" x14ac:dyDescent="0.25">
      <c r="A13" s="1"/>
      <c r="B13" s="1"/>
      <c r="C13" s="1"/>
      <c r="D13" s="1"/>
      <c r="E13" s="1"/>
    </row>
    <row r="14" spans="1:5" x14ac:dyDescent="0.25">
      <c r="A14" s="1"/>
      <c r="B14" s="68" t="s">
        <v>177</v>
      </c>
      <c r="C14" s="69"/>
      <c r="D14" s="70"/>
      <c r="E14" s="1"/>
    </row>
    <row r="15" spans="1:5" x14ac:dyDescent="0.25">
      <c r="A15" s="1"/>
      <c r="B15" s="56" t="s">
        <v>178</v>
      </c>
      <c r="C15" s="9">
        <f>IF(C10&lt;0,C10,0)</f>
        <v>-107416.3736365363</v>
      </c>
      <c r="D15" s="14" t="s">
        <v>3</v>
      </c>
      <c r="E15" s="1"/>
    </row>
    <row r="16" spans="1:5" x14ac:dyDescent="0.25">
      <c r="A16" s="1"/>
      <c r="B16" s="56" t="s">
        <v>185</v>
      </c>
      <c r="C16" s="9">
        <f>IF(SUM(C9)&gt;0,SUM(C9),0)</f>
        <v>0</v>
      </c>
      <c r="D16" s="14" t="s">
        <v>3</v>
      </c>
      <c r="E16" s="1"/>
    </row>
    <row r="17" spans="1:5" ht="26.25" x14ac:dyDescent="0.25">
      <c r="A17" s="1"/>
      <c r="B17" s="71" t="s">
        <v>179</v>
      </c>
      <c r="C17" s="62">
        <f>IF(SUM(C15:C16)&gt;0,0,SUM(C15:C16))</f>
        <v>-107416.3736365363</v>
      </c>
      <c r="D17" s="17" t="s">
        <v>3</v>
      </c>
      <c r="E17" s="1"/>
    </row>
    <row r="18" spans="1:5" x14ac:dyDescent="0.25">
      <c r="A18" s="1"/>
      <c r="B18" s="52"/>
      <c r="C18" s="53"/>
      <c r="D18" s="19"/>
      <c r="E18" s="1"/>
    </row>
    <row r="19" spans="1:5" x14ac:dyDescent="0.25">
      <c r="A19" s="1"/>
      <c r="B19" s="1"/>
      <c r="C19" s="1"/>
      <c r="D19" s="1"/>
      <c r="E19" s="1"/>
    </row>
    <row r="20" spans="1:5" x14ac:dyDescent="0.25">
      <c r="A20" s="1"/>
      <c r="B20" s="68" t="s">
        <v>180</v>
      </c>
      <c r="C20" s="69"/>
      <c r="D20" s="70"/>
      <c r="E20" s="1"/>
    </row>
    <row r="21" spans="1:5" x14ac:dyDescent="0.25">
      <c r="A21" s="1"/>
      <c r="B21" s="56" t="s">
        <v>181</v>
      </c>
      <c r="C21" s="9">
        <v>30267958.694633856</v>
      </c>
      <c r="D21" s="14" t="s">
        <v>3</v>
      </c>
      <c r="E21" s="1"/>
    </row>
    <row r="22" spans="1:5" x14ac:dyDescent="0.25">
      <c r="A22" s="1"/>
      <c r="B22" s="56" t="s">
        <v>182</v>
      </c>
      <c r="C22" s="9">
        <v>28721488</v>
      </c>
      <c r="D22" s="14" t="s">
        <v>3</v>
      </c>
      <c r="E22" s="1"/>
    </row>
    <row r="23" spans="1:5" x14ac:dyDescent="0.25">
      <c r="A23" s="1"/>
      <c r="B23" s="56" t="s">
        <v>28</v>
      </c>
      <c r="C23" s="9">
        <v>0</v>
      </c>
      <c r="D23" s="14" t="s">
        <v>3</v>
      </c>
      <c r="E23" s="1"/>
    </row>
    <row r="24" spans="1:5" x14ac:dyDescent="0.25">
      <c r="A24" s="1"/>
      <c r="B24" s="73" t="s">
        <v>183</v>
      </c>
      <c r="C24" s="46">
        <f>C21-C22-C23</f>
        <v>1546470.6946338564</v>
      </c>
      <c r="D24" s="17" t="s">
        <v>3</v>
      </c>
      <c r="E24" s="1"/>
    </row>
    <row r="25" spans="1:5" x14ac:dyDescent="0.25">
      <c r="A25" s="1"/>
      <c r="B25" s="52"/>
      <c r="C25" s="53"/>
      <c r="D25" s="19"/>
      <c r="E25" s="1"/>
    </row>
    <row r="26" spans="1:5" x14ac:dyDescent="0.25">
      <c r="A26" s="1"/>
      <c r="B26" s="1"/>
      <c r="C26" s="1"/>
      <c r="D26" s="1"/>
      <c r="E26" s="1"/>
    </row>
    <row r="27" spans="1:5" x14ac:dyDescent="0.25">
      <c r="A27" s="1"/>
      <c r="B27" s="98" t="s">
        <v>184</v>
      </c>
      <c r="C27" s="99"/>
      <c r="D27" s="100"/>
      <c r="E27" s="1"/>
    </row>
    <row r="28" spans="1:5" x14ac:dyDescent="0.25">
      <c r="A28" s="1"/>
      <c r="B28" s="57" t="s">
        <v>65</v>
      </c>
      <c r="C28" s="9">
        <f>IF(C17&lt;0,IF(C24&lt;0,SUM(C17,C24),IF(C9&gt;0,SUM(C9:C10),C17)),IF(AND(C24&lt;0,SUM(C24,C10)&lt;0),IF(C10&lt;0,C24,IF(SUM(C9:C10)&gt;0,SUM(C24,C10),IF(AND(C24&lt;0,C17=0,C10&gt;0),IF(SUM(C9:C10)&gt;0,C24+C10,C24)))),IF(AND(SUM(C9:C10)&lt;0,C17=0,C24&lt;0),C24,0)))</f>
        <v>-107416.3736365363</v>
      </c>
      <c r="D28" s="14" t="s">
        <v>3</v>
      </c>
      <c r="E28" s="1"/>
    </row>
    <row r="29" spans="1:5" x14ac:dyDescent="0.25">
      <c r="A29" s="1"/>
      <c r="B29" s="57" t="s">
        <v>48</v>
      </c>
      <c r="C29" s="9">
        <v>2</v>
      </c>
      <c r="D29" s="14" t="s">
        <v>18</v>
      </c>
      <c r="E29" s="1"/>
    </row>
    <row r="30" spans="1:5" x14ac:dyDescent="0.25">
      <c r="A30" s="1"/>
      <c r="B30" s="58" t="s">
        <v>64</v>
      </c>
      <c r="C30" s="10">
        <f>C28/C29</f>
        <v>-53708.18681826815</v>
      </c>
      <c r="D30" s="17" t="s">
        <v>3</v>
      </c>
      <c r="E30" s="1"/>
    </row>
    <row r="31" spans="1:5" x14ac:dyDescent="0.25">
      <c r="A31" s="1"/>
      <c r="B31" s="110"/>
      <c r="C31" s="111"/>
      <c r="D31" s="112"/>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d6sHdHTdBGlo7T1Hu7HVC9JlCRY5co+NkoRFHuSIb3hf2UDrn79A2cSD4Cy0c3Wts2uBKZrdZ4Hz3xhenf5vyw==" saltValue="tkbNAg54n7V9DgusdR2QTw=="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6" t="s">
        <v>96</v>
      </c>
      <c r="C3" s="96"/>
      <c r="D3" s="96"/>
      <c r="E3" s="1"/>
    </row>
    <row r="4" spans="1:5" ht="15" customHeight="1" x14ac:dyDescent="0.25">
      <c r="A4" s="1"/>
      <c r="B4" s="96"/>
      <c r="C4" s="96"/>
      <c r="D4" s="96"/>
      <c r="E4" s="1"/>
    </row>
    <row r="5" spans="1:5" x14ac:dyDescent="0.25">
      <c r="A5" s="1"/>
      <c r="B5" s="96"/>
      <c r="C5" s="96"/>
      <c r="D5" s="96"/>
      <c r="E5" s="1"/>
    </row>
    <row r="6" spans="1:5" x14ac:dyDescent="0.25">
      <c r="A6" s="1"/>
      <c r="B6" s="1"/>
      <c r="C6" s="1"/>
      <c r="D6" s="1"/>
      <c r="E6" s="1"/>
    </row>
    <row r="7" spans="1:5" x14ac:dyDescent="0.25">
      <c r="A7" s="1"/>
      <c r="B7" s="1"/>
      <c r="C7" s="1"/>
      <c r="D7" s="1"/>
      <c r="E7" s="1"/>
    </row>
    <row r="8" spans="1:5" x14ac:dyDescent="0.25">
      <c r="A8" s="1"/>
      <c r="B8" s="98" t="s">
        <v>97</v>
      </c>
      <c r="C8" s="99"/>
      <c r="D8" s="100"/>
      <c r="E8" s="1"/>
    </row>
    <row r="9" spans="1:5" ht="15" customHeight="1" x14ac:dyDescent="0.25">
      <c r="A9" s="1"/>
      <c r="B9" s="113" t="s">
        <v>123</v>
      </c>
      <c r="C9" s="114"/>
      <c r="D9" s="115"/>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8"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FKfrvMb7GBXafQ2Vde8syc+4ZPP3cmvXbjN0YTQb6YU9Gi/znLW5Lpa2l7qhPfUOHUC73R3R9AaEcmc0xw+yjA==" saltValue="GtqOq80S9ZWBMKdIjn32tw=="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90</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74</v>
      </c>
      <c r="C8" s="99"/>
      <c r="D8" s="99"/>
      <c r="E8" s="99"/>
      <c r="F8" s="99"/>
      <c r="G8" s="99"/>
      <c r="H8" s="99"/>
      <c r="I8" s="99"/>
      <c r="J8" s="99"/>
      <c r="K8" s="100"/>
      <c r="L8" s="1"/>
    </row>
    <row r="9" spans="1:12" ht="39.75" customHeight="1" x14ac:dyDescent="0.25">
      <c r="A9" s="1"/>
      <c r="B9" s="18" t="s">
        <v>0</v>
      </c>
      <c r="C9" s="18" t="s">
        <v>1</v>
      </c>
      <c r="D9" s="116" t="s">
        <v>83</v>
      </c>
      <c r="E9" s="117"/>
      <c r="F9" s="116" t="s">
        <v>2</v>
      </c>
      <c r="G9" s="117"/>
      <c r="H9" s="116" t="s">
        <v>84</v>
      </c>
      <c r="I9" s="117"/>
      <c r="J9" s="116" t="s">
        <v>25</v>
      </c>
      <c r="K9" s="117"/>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2" t="s">
        <v>146</v>
      </c>
      <c r="C11" s="53"/>
      <c r="D11" s="19"/>
      <c r="E11" s="70"/>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7zg9mXOkHM/UY8qAUdLW9/vMJTCCPfGYJNdoXmuy+qGYG6rSlHMH3anrbM3ODyqb6ekm1MnbolRR1cXryzp+CQ==" saltValue="+wMyzDz6t1R5+abivHz7Cw=="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91</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34</v>
      </c>
      <c r="C8" s="53"/>
      <c r="D8" s="53"/>
      <c r="E8" s="53"/>
      <c r="F8" s="19"/>
      <c r="G8" s="1"/>
    </row>
    <row r="9" spans="1:7" ht="17.25" customHeight="1" x14ac:dyDescent="0.25">
      <c r="A9" s="1"/>
      <c r="B9" s="71" t="s">
        <v>15</v>
      </c>
      <c r="C9" s="73" t="s">
        <v>10</v>
      </c>
      <c r="D9" s="72"/>
      <c r="E9" s="73"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196</v>
      </c>
      <c r="C11" s="21">
        <v>252583</v>
      </c>
      <c r="D11" s="14" t="s">
        <v>3</v>
      </c>
      <c r="E11" s="9">
        <v>179730</v>
      </c>
      <c r="F11" s="14" t="s">
        <v>3</v>
      </c>
      <c r="G11" s="1"/>
    </row>
    <row r="12" spans="1:7" x14ac:dyDescent="0.25">
      <c r="A12" s="1"/>
      <c r="B12" s="26"/>
      <c r="C12" s="21"/>
      <c r="D12" s="14" t="s">
        <v>3</v>
      </c>
      <c r="E12" s="9"/>
      <c r="F12" s="14" t="s">
        <v>3</v>
      </c>
      <c r="G12" s="1"/>
    </row>
    <row r="13" spans="1:7" x14ac:dyDescent="0.25">
      <c r="A13" s="1"/>
      <c r="B13" s="26"/>
      <c r="C13" s="21"/>
      <c r="D13" s="14" t="s">
        <v>3</v>
      </c>
      <c r="E13" s="9"/>
      <c r="F13" s="14" t="s">
        <v>3</v>
      </c>
      <c r="G13" s="1"/>
    </row>
    <row r="14" spans="1:7" x14ac:dyDescent="0.25">
      <c r="A14" s="1"/>
      <c r="B14" s="26"/>
      <c r="C14" s="21"/>
      <c r="D14" s="14" t="s">
        <v>3</v>
      </c>
      <c r="E14" s="9"/>
      <c r="F14" s="14" t="s">
        <v>3</v>
      </c>
      <c r="G14" s="1"/>
    </row>
    <row r="15" spans="1:7" x14ac:dyDescent="0.25">
      <c r="A15" s="1"/>
      <c r="B15" s="26"/>
      <c r="C15" s="21"/>
      <c r="D15" s="14" t="s">
        <v>3</v>
      </c>
      <c r="E15" s="9"/>
      <c r="F15" s="14" t="s">
        <v>3</v>
      </c>
      <c r="G15" s="1"/>
    </row>
    <row r="16" spans="1:7" x14ac:dyDescent="0.25">
      <c r="A16" s="1"/>
      <c r="B16" s="26"/>
      <c r="C16" s="21"/>
      <c r="D16" s="14" t="s">
        <v>3</v>
      </c>
      <c r="E16" s="9"/>
      <c r="F16" s="14" t="s">
        <v>3</v>
      </c>
      <c r="G16" s="1"/>
    </row>
    <row r="17" spans="1:7" x14ac:dyDescent="0.25">
      <c r="A17" s="1"/>
      <c r="B17" s="52" t="s">
        <v>112</v>
      </c>
      <c r="C17" s="12">
        <f>SUM(C10:C16)</f>
        <v>252583</v>
      </c>
      <c r="D17" s="13" t="s">
        <v>3</v>
      </c>
      <c r="E17" s="12">
        <f>SUM(E10:E16)</f>
        <v>179730</v>
      </c>
      <c r="F17" s="13" t="s">
        <v>3</v>
      </c>
      <c r="G17" s="1"/>
    </row>
    <row r="18" spans="1:7" x14ac:dyDescent="0.25">
      <c r="A18" s="1"/>
      <c r="B18" s="52" t="s">
        <v>147</v>
      </c>
      <c r="C18" s="12">
        <f>C17*(1+'Fane 13. Nøgletal'!C11)</f>
        <v>269329.25290000002</v>
      </c>
      <c r="D18" s="13" t="s">
        <v>3</v>
      </c>
      <c r="E18" s="12">
        <f>E17*(1+'Fane 13. Nøgletal'!C11)</f>
        <v>191646.09900000002</v>
      </c>
      <c r="F18" s="13" t="s">
        <v>3</v>
      </c>
      <c r="G18" s="1"/>
    </row>
    <row r="19" spans="1:7" x14ac:dyDescent="0.25">
      <c r="A19" s="1"/>
      <c r="B19" s="1"/>
      <c r="C19" s="1" t="s">
        <v>82</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row r="52" spans="1:7" hidden="1" x14ac:dyDescent="0.25">
      <c r="A52" s="40"/>
      <c r="B52" s="40"/>
      <c r="C52" s="40"/>
      <c r="D52" s="40"/>
      <c r="E52" s="40"/>
      <c r="F52" s="40"/>
      <c r="G52" s="40"/>
    </row>
    <row r="53" spans="1:7" hidden="1" x14ac:dyDescent="0.25">
      <c r="A53" s="40"/>
      <c r="B53" s="40"/>
      <c r="C53" s="40"/>
      <c r="D53" s="40"/>
      <c r="E53" s="40"/>
      <c r="F53" s="40"/>
      <c r="G53" s="40"/>
    </row>
    <row r="54" spans="1:7" hidden="1" x14ac:dyDescent="0.25">
      <c r="A54" s="40"/>
      <c r="B54" s="40"/>
      <c r="C54" s="40"/>
      <c r="D54" s="40"/>
      <c r="E54" s="40"/>
      <c r="F54" s="40"/>
      <c r="G54" s="40"/>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sheetData>
  <sheetProtection algorithmName="SHA-512" hashValue="WCcxjrVHl5tXdcn8228l+C7MKCkgs/UwvLFvRyzG3aOGj+edB5iKCxlbS1POmJYvUZ3NK+oVGb3HNxJ8Lmvwmw==" saltValue="8ffHh1UDiI9GcLktbuLmcg=="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92</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150</v>
      </c>
      <c r="C8" s="99"/>
      <c r="D8" s="99"/>
      <c r="E8" s="99"/>
      <c r="F8" s="100"/>
      <c r="G8" s="1"/>
    </row>
    <row r="9" spans="1:7" x14ac:dyDescent="0.25">
      <c r="A9" s="1"/>
      <c r="B9" s="71" t="s">
        <v>15</v>
      </c>
      <c r="C9" s="73" t="s">
        <v>10</v>
      </c>
      <c r="D9" s="74"/>
      <c r="E9" s="73" t="s">
        <v>26</v>
      </c>
      <c r="F9" s="27"/>
      <c r="G9" s="1"/>
    </row>
    <row r="10" spans="1:7" x14ac:dyDescent="0.25">
      <c r="A10" s="1"/>
      <c r="B10" s="23" t="s">
        <v>197</v>
      </c>
      <c r="C10" s="21"/>
      <c r="D10" s="14" t="s">
        <v>3</v>
      </c>
      <c r="E10" s="9"/>
      <c r="F10" s="14" t="s">
        <v>3</v>
      </c>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52" t="s">
        <v>148</v>
      </c>
      <c r="C13" s="12">
        <f>SUM(C10:C12)</f>
        <v>0</v>
      </c>
      <c r="D13" s="13" t="s">
        <v>3</v>
      </c>
      <c r="E13" s="12">
        <f>SUM(E10:E12)</f>
        <v>0</v>
      </c>
      <c r="F13" s="13" t="s">
        <v>3</v>
      </c>
      <c r="G13" s="1"/>
    </row>
    <row r="14" spans="1:7" x14ac:dyDescent="0.25">
      <c r="A14" s="1"/>
      <c r="B14" s="52" t="s">
        <v>149</v>
      </c>
      <c r="C14" s="12">
        <f>C13*(1+'Fane 13. Nøgletal'!$C$11)^2</f>
        <v>0</v>
      </c>
      <c r="D14" s="13" t="s">
        <v>3</v>
      </c>
      <c r="E14" s="12">
        <f>E13*(1+'Fane 13. Nøgletal'!$C$11)^2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ISM7wXl7Yy9JBE59AcdeYpmP1voNmm1WDjmULKaAK8w2bG5suZj/wijmji+bBYSZNvuQHxCyu9Qv4VTmnSLuDQ==" saltValue="DiRBExKzDfXDnSGUOYEDKg=="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93</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x14ac:dyDescent="0.25">
      <c r="A7" s="1"/>
      <c r="B7" s="1"/>
      <c r="C7" s="1"/>
      <c r="D7" s="1"/>
      <c r="E7" s="1"/>
      <c r="F7" s="1"/>
      <c r="G7" s="1"/>
    </row>
    <row r="8" spans="1:7" x14ac:dyDescent="0.25">
      <c r="A8" s="1"/>
      <c r="B8" s="98" t="s">
        <v>59</v>
      </c>
      <c r="C8" s="99"/>
      <c r="D8" s="99"/>
      <c r="E8" s="99"/>
      <c r="F8" s="100"/>
      <c r="G8" s="1"/>
    </row>
    <row r="9" spans="1:7" ht="15" customHeight="1" x14ac:dyDescent="0.25">
      <c r="A9" s="1"/>
      <c r="B9" s="54" t="s">
        <v>60</v>
      </c>
      <c r="C9" s="118" t="s">
        <v>10</v>
      </c>
      <c r="D9" s="119"/>
      <c r="E9" s="118" t="s">
        <v>26</v>
      </c>
      <c r="F9" s="119"/>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pmAVhgun6k6E/D0WL1W9NOJ6JSg8oj2P1vYCxdfg9freOeMzVxdZpuqyxsBKP28qkyJPQE4f2rRro8pNyuajfA==" saltValue="RKmtaWwfqiZ5e2e/1ZVXuA=="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94</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8" t="s">
        <v>152</v>
      </c>
      <c r="C8" s="99"/>
      <c r="D8" s="99"/>
      <c r="E8" s="99"/>
      <c r="F8" s="100"/>
      <c r="G8" s="1"/>
    </row>
    <row r="9" spans="1:7" x14ac:dyDescent="0.25">
      <c r="A9" s="1"/>
      <c r="B9" s="54" t="s">
        <v>16</v>
      </c>
      <c r="C9" s="51" t="s">
        <v>10</v>
      </c>
      <c r="D9" s="27"/>
      <c r="E9" s="51" t="s">
        <v>26</v>
      </c>
      <c r="F9" s="27"/>
      <c r="G9" s="1"/>
    </row>
    <row r="10" spans="1:7" x14ac:dyDescent="0.25">
      <c r="A10" s="1"/>
      <c r="B10" s="60" t="s">
        <v>191</v>
      </c>
      <c r="C10" s="9">
        <v>0</v>
      </c>
      <c r="D10" s="14" t="s">
        <v>3</v>
      </c>
      <c r="E10" s="9">
        <v>0</v>
      </c>
      <c r="F10" s="14" t="s">
        <v>3</v>
      </c>
      <c r="G10" s="1"/>
    </row>
    <row r="11" spans="1:7" x14ac:dyDescent="0.25">
      <c r="A11" s="1"/>
      <c r="B11" s="52" t="s">
        <v>122</v>
      </c>
      <c r="C11" s="12">
        <f>SUM(C10:C10)</f>
        <v>0</v>
      </c>
      <c r="D11" s="13" t="s">
        <v>3</v>
      </c>
      <c r="E11" s="12">
        <f>SUM(E10:E10)</f>
        <v>0</v>
      </c>
      <c r="F11" s="13" t="s">
        <v>3</v>
      </c>
      <c r="G11" s="1"/>
    </row>
    <row r="12" spans="1:7" x14ac:dyDescent="0.25">
      <c r="A12" s="1"/>
      <c r="B12" s="52"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Vk764gr/aYNoFQGqpMIlO1iwC9vguVq4QRYhC0pqwHEoELjrfBxZHf8236B1Xco97TezLJOBUT1dqQpDXk/SQ==" saltValue="QZ5EDgGq2hXRJq6+8z+DrA=="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6" t="s">
        <v>95</v>
      </c>
      <c r="C3" s="96"/>
      <c r="D3" s="1"/>
    </row>
    <row r="4" spans="1:4" ht="15" customHeight="1" x14ac:dyDescent="0.25">
      <c r="A4" s="1"/>
      <c r="B4" s="96"/>
      <c r="C4" s="96"/>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198</v>
      </c>
      <c r="C11" s="49">
        <v>6.6299999999999998E-2</v>
      </c>
      <c r="D11" s="1"/>
    </row>
    <row r="12" spans="1:4" x14ac:dyDescent="0.25">
      <c r="A12" s="1"/>
      <c r="B12" s="98"/>
      <c r="C12" s="100"/>
      <c r="D12" s="1"/>
    </row>
    <row r="13" spans="1:4" x14ac:dyDescent="0.25">
      <c r="A13" s="1"/>
      <c r="B13" s="1"/>
      <c r="C13" s="34"/>
      <c r="D13" s="1"/>
    </row>
    <row r="14" spans="1:4" x14ac:dyDescent="0.25">
      <c r="A14" s="1"/>
      <c r="B14" s="1"/>
      <c r="C14" s="34"/>
      <c r="D14" s="1"/>
    </row>
    <row r="15" spans="1:4" x14ac:dyDescent="0.25">
      <c r="A15" s="1"/>
      <c r="B15" s="52"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199</v>
      </c>
      <c r="C18" s="63">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45</v>
      </c>
      <c r="C22" s="35"/>
      <c r="D22" s="1"/>
    </row>
    <row r="23" spans="1:4" x14ac:dyDescent="0.25">
      <c r="A23" s="1"/>
      <c r="B23" s="28" t="s">
        <v>56</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kzJU1djtIV3Y8Nanc7x9qUclt0eZ3JSWe1xE3cbdv5SH7y1jJTXqFltR6eU3K9lfd/Yhxa/AsWGwv1OcgIpV0w==" saltValue="SMmPKD/UNb5Tl41Z21CIcQ=="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68</v>
      </c>
      <c r="C9" s="7">
        <f>'Fane 3. Omkostninger i ØR2024'!C20</f>
        <v>18856992.96941369</v>
      </c>
      <c r="D9" s="8" t="s">
        <v>3</v>
      </c>
      <c r="E9" s="1"/>
    </row>
    <row r="10" spans="1:5" ht="17.100000000000001" customHeight="1" x14ac:dyDescent="0.25">
      <c r="A10" s="1"/>
      <c r="B10" s="24" t="s">
        <v>32</v>
      </c>
      <c r="C10" s="7">
        <f>'Fane 10.1. Varige tillæg'!C18</f>
        <v>269329.25290000002</v>
      </c>
      <c r="D10" s="8" t="s">
        <v>3</v>
      </c>
      <c r="E10" s="1"/>
    </row>
    <row r="11" spans="1:5" ht="17.100000000000001" customHeight="1" x14ac:dyDescent="0.25">
      <c r="A11" s="1"/>
      <c r="B11" s="24" t="s">
        <v>33</v>
      </c>
      <c r="C11" s="9">
        <f>'Fane 10.1. Varige tillæg'!E18</f>
        <v>191646.09900000002</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1280781.2997030977</v>
      </c>
      <c r="D16" s="8" t="s">
        <v>3</v>
      </c>
      <c r="E16" s="1"/>
    </row>
    <row r="17" spans="1:5" ht="17.100000000000001" customHeight="1" x14ac:dyDescent="0.25">
      <c r="A17" s="1"/>
      <c r="B17" s="24" t="s">
        <v>9</v>
      </c>
      <c r="C17" s="9">
        <f>-SUM(C9:C16)*'Fane 5. Individuelt eff. krav'!C9</f>
        <v>-37911.721517830265</v>
      </c>
      <c r="D17" s="8" t="s">
        <v>3</v>
      </c>
      <c r="E17" s="1"/>
    </row>
    <row r="18" spans="1:5" ht="17.100000000000001" customHeight="1" x14ac:dyDescent="0.25">
      <c r="A18" s="1"/>
      <c r="B18" s="24" t="s">
        <v>21</v>
      </c>
      <c r="C18" s="9">
        <f>-'Fane 4.1. Gen. krav - drift'!C17</f>
        <v>-218195.49321507581</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3" t="s">
        <v>19</v>
      </c>
      <c r="C20" s="10">
        <f>SUM(C9:C19)</f>
        <v>20342642.406283882</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13546006.334267709</v>
      </c>
      <c r="D22" s="11" t="s">
        <v>3</v>
      </c>
      <c r="E22" s="1"/>
    </row>
    <row r="23" spans="1:5" ht="15" customHeight="1" x14ac:dyDescent="0.25">
      <c r="A23" s="1"/>
      <c r="B23" s="52" t="s">
        <v>39</v>
      </c>
      <c r="C23" s="53"/>
      <c r="D23" s="19"/>
      <c r="E23" s="1"/>
    </row>
    <row r="24" spans="1:5" ht="15" customHeight="1" x14ac:dyDescent="0.25">
      <c r="A24" s="1"/>
      <c r="B24" s="24" t="s">
        <v>35</v>
      </c>
      <c r="C24" s="9">
        <f>'Fane 10.2. Engangstillæg'!C14</f>
        <v>0</v>
      </c>
      <c r="D24" s="8" t="s">
        <v>3</v>
      </c>
      <c r="E24" s="1"/>
    </row>
    <row r="25" spans="1:5" ht="15" customHeight="1" x14ac:dyDescent="0.25">
      <c r="A25" s="1"/>
      <c r="B25" s="24" t="s">
        <v>36</v>
      </c>
      <c r="C25" s="9">
        <f>'Fane 10.2. Engangstillæg'!E14</f>
        <v>0</v>
      </c>
      <c r="D25" s="8" t="s">
        <v>3</v>
      </c>
      <c r="E25" s="1"/>
    </row>
    <row r="26" spans="1:5" ht="15" customHeight="1" x14ac:dyDescent="0.25">
      <c r="A26" s="1"/>
      <c r="B26" s="24" t="s">
        <v>79</v>
      </c>
      <c r="C26" s="9">
        <f>-C24*('Fane 13. Nøgletal'!C23+'Fane 5. Individuelt eff. krav'!C9)</f>
        <v>0</v>
      </c>
      <c r="D26" s="8" t="s">
        <v>3</v>
      </c>
      <c r="E26" s="1"/>
    </row>
    <row r="27" spans="1:5" ht="15" customHeight="1" x14ac:dyDescent="0.25">
      <c r="A27" s="1"/>
      <c r="B27" s="24" t="s">
        <v>80</v>
      </c>
      <c r="C27" s="9">
        <f>-C25*('Fane 13. Nøgletal'!C18+'Fane 5. Individuelt eff. krav'!C9)</f>
        <v>0</v>
      </c>
      <c r="D27" s="8" t="s">
        <v>3</v>
      </c>
      <c r="E27" s="1"/>
    </row>
    <row r="28" spans="1:5" x14ac:dyDescent="0.25">
      <c r="A28" s="1"/>
      <c r="B28" s="73" t="s">
        <v>40</v>
      </c>
      <c r="C28" s="50">
        <f>SUM(C24:C27)</f>
        <v>0</v>
      </c>
      <c r="D28" s="11" t="s">
        <v>3</v>
      </c>
      <c r="E28" s="1"/>
    </row>
    <row r="29" spans="1:5" ht="15" customHeight="1" x14ac:dyDescent="0.25">
      <c r="A29" s="1"/>
      <c r="B29" s="25" t="s">
        <v>65</v>
      </c>
      <c r="C29" s="53"/>
      <c r="D29" s="19"/>
      <c r="E29" s="1"/>
    </row>
    <row r="30" spans="1:5" x14ac:dyDescent="0.25">
      <c r="A30" s="1"/>
      <c r="B30" s="58" t="s">
        <v>66</v>
      </c>
      <c r="C30" s="10">
        <f>'Fane 7. Kontrol af ØR2023'!C30</f>
        <v>-53708.18681826815</v>
      </c>
      <c r="D30" s="11" t="s">
        <v>3</v>
      </c>
      <c r="E30" s="1"/>
    </row>
    <row r="31" spans="1:5" x14ac:dyDescent="0.25">
      <c r="A31" s="1"/>
      <c r="B31" s="25" t="s">
        <v>70</v>
      </c>
      <c r="C31" s="53"/>
      <c r="D31" s="19"/>
      <c r="E31" s="1"/>
    </row>
    <row r="32" spans="1:5" x14ac:dyDescent="0.25">
      <c r="A32" s="1"/>
      <c r="B32" s="58" t="s">
        <v>71</v>
      </c>
      <c r="C32" s="10">
        <f>'Fane 8. Skattesagen'!C14</f>
        <v>0</v>
      </c>
      <c r="D32" s="11" t="s">
        <v>3</v>
      </c>
      <c r="E32" s="1"/>
    </row>
    <row r="33" spans="1:5" x14ac:dyDescent="0.25">
      <c r="A33" s="1"/>
      <c r="B33" s="52" t="s">
        <v>69</v>
      </c>
      <c r="C33" s="29">
        <f>SUM(C20,C22,C28,C30,C32)</f>
        <v>33834940.553733319</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DJs4f1UiHYUnLO17bjWvlfV+m95xv0npZN+6IQ6v79sozfTB/J7gSqwJBJ8i1bxtSq1XdNc8rVOg27x+s8cM3A==" saltValue="s5/obnHgbMISKDfpclF2Lg=="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129</v>
      </c>
      <c r="C3" s="94"/>
      <c r="D3" s="94"/>
      <c r="E3" s="1"/>
    </row>
    <row r="4" spans="1:5" ht="15" customHeight="1" x14ac:dyDescent="0.25">
      <c r="A4" s="1"/>
      <c r="B4" s="94"/>
      <c r="C4" s="94"/>
      <c r="D4" s="94"/>
      <c r="E4" s="1"/>
    </row>
    <row r="5" spans="1:5" x14ac:dyDescent="0.25">
      <c r="A5" s="1"/>
      <c r="B5" s="95"/>
      <c r="C5" s="95"/>
      <c r="D5" s="95"/>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72</v>
      </c>
      <c r="C9" s="7">
        <f>'Fane 2.1. Økonomisk ramme 2025'!C20</f>
        <v>20342642.406283882</v>
      </c>
      <c r="D9" s="8" t="s">
        <v>3</v>
      </c>
      <c r="E9" s="1"/>
    </row>
    <row r="10" spans="1:5" ht="15" customHeight="1" x14ac:dyDescent="0.25">
      <c r="A10" s="1"/>
      <c r="B10" s="47" t="s">
        <v>17</v>
      </c>
      <c r="C10" s="41">
        <f>C9*'Fane 13. Nøgletal'!C11</f>
        <v>1348717.1915366212</v>
      </c>
      <c r="D10" s="8" t="s">
        <v>3</v>
      </c>
      <c r="E10" s="1"/>
    </row>
    <row r="11" spans="1:5" ht="15" customHeight="1" x14ac:dyDescent="0.25">
      <c r="A11" s="1"/>
      <c r="B11" s="47" t="s">
        <v>9</v>
      </c>
      <c r="C11" s="9">
        <f>-SUM(C9:C10)*'Fane 5. Individuelt eff. krav'!C9</f>
        <v>-39922.655478885936</v>
      </c>
      <c r="D11" s="8" t="s">
        <v>3</v>
      </c>
      <c r="E11" s="1"/>
    </row>
    <row r="12" spans="1:5" ht="15" customHeight="1" x14ac:dyDescent="0.25">
      <c r="A12" s="1"/>
      <c r="B12" s="47" t="s">
        <v>21</v>
      </c>
      <c r="C12" s="9">
        <f>-'Fane 4.1. Gen. krav - drift'!C22</f>
        <v>-228008.61732693063</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21423428.325014684</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14444106.554229658</v>
      </c>
      <c r="D16" s="11" t="s">
        <v>3</v>
      </c>
      <c r="E16" s="1"/>
    </row>
    <row r="17" spans="1:5" x14ac:dyDescent="0.25">
      <c r="A17" s="1"/>
      <c r="B17" s="25" t="s">
        <v>65</v>
      </c>
      <c r="C17" s="53"/>
      <c r="D17" s="19"/>
      <c r="E17" s="1"/>
    </row>
    <row r="18" spans="1:5" ht="15" customHeight="1" x14ac:dyDescent="0.25">
      <c r="A18" s="1"/>
      <c r="B18" s="45" t="s">
        <v>66</v>
      </c>
      <c r="C18" s="10">
        <f>'Fane 7. Kontrol af ØR2023'!C30</f>
        <v>-53708.18681826815</v>
      </c>
      <c r="D18" s="11" t="s">
        <v>3</v>
      </c>
      <c r="E18" s="1"/>
    </row>
    <row r="19" spans="1:5" x14ac:dyDescent="0.25">
      <c r="A19" s="1"/>
      <c r="B19" s="25" t="s">
        <v>70</v>
      </c>
      <c r="C19" s="53"/>
      <c r="D19" s="19"/>
      <c r="E19" s="1"/>
    </row>
    <row r="20" spans="1:5" x14ac:dyDescent="0.25">
      <c r="A20" s="1"/>
      <c r="B20" s="58" t="s">
        <v>71</v>
      </c>
      <c r="C20" s="10">
        <f>'Fane 8. Skattesagen'!C15</f>
        <v>0</v>
      </c>
      <c r="D20" s="11" t="s">
        <v>3</v>
      </c>
      <c r="E20" s="1"/>
    </row>
    <row r="21" spans="1:5" x14ac:dyDescent="0.25">
      <c r="A21" s="1"/>
      <c r="B21" s="52" t="s">
        <v>73</v>
      </c>
      <c r="C21" s="12">
        <f>SUM(C14,C16,C18,C20)</f>
        <v>35813826.692426071</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P1jEFjOLVN8DR4zUax0D1LUi61luHWWSLAv5gh9pbsnIoYhx44+Xm+kM/nfyGIlOZP85NlU1JeuoXUZki8SyyQ==" saltValue="mVwOf885SiVIKCvMG2aaz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108</v>
      </c>
      <c r="C9" s="7">
        <f>'Fane 2.2. Økonomisk ramme 2026'!C14</f>
        <v>21423428.325014684</v>
      </c>
      <c r="D9" s="8" t="s">
        <v>3</v>
      </c>
      <c r="E9" s="1"/>
    </row>
    <row r="10" spans="1:5" ht="15" customHeight="1" x14ac:dyDescent="0.25">
      <c r="A10" s="1"/>
      <c r="B10" s="47" t="s">
        <v>17</v>
      </c>
      <c r="C10" s="41">
        <f>C9*'Fane 13. Nøgletal'!C11</f>
        <v>1420373.2979484736</v>
      </c>
      <c r="D10" s="8" t="s">
        <v>3</v>
      </c>
      <c r="E10" s="1"/>
    </row>
    <row r="11" spans="1:5" ht="15" customHeight="1" x14ac:dyDescent="0.25">
      <c r="A11" s="1"/>
      <c r="B11" s="47" t="s">
        <v>9</v>
      </c>
      <c r="C11" s="9">
        <f>-SUM(C9:C10)*'Fane 5. Individuelt eff. krav'!C9</f>
        <v>-42043.709519859127</v>
      </c>
      <c r="D11" s="8" t="s">
        <v>3</v>
      </c>
      <c r="E11" s="1"/>
    </row>
    <row r="12" spans="1:5" ht="15" customHeight="1" x14ac:dyDescent="0.25">
      <c r="A12" s="1"/>
      <c r="B12" s="47" t="s">
        <v>21</v>
      </c>
      <c r="C12" s="9">
        <f>-'Fane 4.1. Gen. krav - drift'!C27</f>
        <v>-238263.07688259199</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22563494.836560704</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15401750.818775086</v>
      </c>
      <c r="D16" s="11" t="s">
        <v>3</v>
      </c>
      <c r="E16" s="1"/>
    </row>
    <row r="17" spans="1:5" x14ac:dyDescent="0.25">
      <c r="A17" s="1"/>
      <c r="B17" s="25" t="s">
        <v>65</v>
      </c>
      <c r="C17" s="53"/>
      <c r="D17" s="19"/>
      <c r="E17" s="1"/>
    </row>
    <row r="18" spans="1:5" ht="15" customHeight="1" x14ac:dyDescent="0.25">
      <c r="A18" s="1"/>
      <c r="B18" s="45" t="s">
        <v>66</v>
      </c>
      <c r="C18" s="10">
        <v>0</v>
      </c>
      <c r="D18" s="11" t="s">
        <v>3</v>
      </c>
      <c r="E18" s="1"/>
    </row>
    <row r="19" spans="1:5" x14ac:dyDescent="0.25">
      <c r="A19" s="1"/>
      <c r="B19" s="52" t="s">
        <v>70</v>
      </c>
      <c r="C19" s="53"/>
      <c r="D19" s="19"/>
      <c r="E19" s="1"/>
    </row>
    <row r="20" spans="1:5" x14ac:dyDescent="0.25">
      <c r="A20" s="1"/>
      <c r="B20" s="58" t="s">
        <v>71</v>
      </c>
      <c r="C20" s="10">
        <f>'Fane 8. Skattesagen'!C16</f>
        <v>0</v>
      </c>
      <c r="D20" s="11" t="s">
        <v>3</v>
      </c>
      <c r="E20" s="1"/>
    </row>
    <row r="21" spans="1:5" x14ac:dyDescent="0.25">
      <c r="A21" s="1"/>
      <c r="B21" s="52" t="s">
        <v>109</v>
      </c>
      <c r="C21" s="12">
        <f>SUM(C14,C16,C18,C20)</f>
        <v>37965245.655335791</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heaGWR/fpJC3ksTGrRPKX3rdXWa8OcKgHT0BQZHa+YWzlxVd1uDL20PmHvWcmTy9ZMmwIX7R+7gBt0R8svs5ig==" saltValue="3vWVTOSCmgQrV6z65WkzA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131</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132</v>
      </c>
      <c r="C9" s="7">
        <f>'Fane 2.3. Økonomisk ramme 2027'!C14</f>
        <v>22563494.836560704</v>
      </c>
      <c r="D9" s="8" t="s">
        <v>3</v>
      </c>
      <c r="E9" s="1"/>
    </row>
    <row r="10" spans="1:5" ht="15" customHeight="1" x14ac:dyDescent="0.25">
      <c r="A10" s="1"/>
      <c r="B10" s="47" t="s">
        <v>17</v>
      </c>
      <c r="C10" s="9">
        <f>C9*'Fane 13. Nøgletal'!C11</f>
        <v>1495959.7076639747</v>
      </c>
      <c r="D10" s="8" t="s">
        <v>3</v>
      </c>
      <c r="E10" s="1"/>
    </row>
    <row r="11" spans="1:5" ht="15" customHeight="1" x14ac:dyDescent="0.25">
      <c r="A11" s="1"/>
      <c r="B11" s="47" t="s">
        <v>9</v>
      </c>
      <c r="C11" s="9">
        <f>-SUM(C9:C10)*'Fane 5. Individuelt eff. krav'!C9</f>
        <v>-44281.102364625825</v>
      </c>
      <c r="D11" s="8" t="s">
        <v>3</v>
      </c>
      <c r="E11" s="1"/>
    </row>
    <row r="12" spans="1:5" ht="15" customHeight="1" x14ac:dyDescent="0.25">
      <c r="A12" s="1"/>
      <c r="B12" s="47" t="s">
        <v>21</v>
      </c>
      <c r="C12" s="9">
        <f>-'Fane 4.1. Gen. krav - drift'!C32</f>
        <v>-248978.7205023097</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23766194.721357744</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16422886.898059875</v>
      </c>
      <c r="D16" s="11" t="s">
        <v>3</v>
      </c>
      <c r="E16" s="1"/>
    </row>
    <row r="17" spans="1:5" x14ac:dyDescent="0.25">
      <c r="A17" s="1"/>
      <c r="B17" s="25" t="s">
        <v>70</v>
      </c>
      <c r="C17" s="53"/>
      <c r="D17" s="19"/>
      <c r="E17" s="1"/>
    </row>
    <row r="18" spans="1:5" x14ac:dyDescent="0.25">
      <c r="A18" s="1"/>
      <c r="B18" s="58" t="s">
        <v>71</v>
      </c>
      <c r="C18" s="10">
        <f>'Fane 8. Skattesagen'!C17</f>
        <v>0</v>
      </c>
      <c r="D18" s="11" t="s">
        <v>3</v>
      </c>
      <c r="E18" s="1"/>
    </row>
    <row r="19" spans="1:5" x14ac:dyDescent="0.25">
      <c r="A19" s="1"/>
      <c r="B19" s="52" t="s">
        <v>133</v>
      </c>
      <c r="C19" s="12">
        <f>SUM(C14,C16,C18)</f>
        <v>40189081.619417623</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W7aFHPGhINSFM2gRfP9cF+eCn7e+ayZs8XokWeP3D2TgfsiTPF5/OPdn6yFYZhveLR8STf+hO3t2C9SnQDtRMA==" saltValue="ComfyEDK2wtAmuC3ugE40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2"/>
  <sheetViews>
    <sheetView showGridLines="0" zoomScaleNormal="100" workbookViewId="0"/>
  </sheetViews>
  <sheetFormatPr defaultColWidth="0" defaultRowHeight="15" zeroHeight="1"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6" t="s">
        <v>134</v>
      </c>
      <c r="C3" s="96"/>
      <c r="D3" s="96"/>
      <c r="E3" s="1"/>
    </row>
    <row r="4" spans="1:5" ht="15" customHeight="1" x14ac:dyDescent="0.25">
      <c r="A4" s="1"/>
      <c r="B4" s="96"/>
      <c r="C4" s="96"/>
      <c r="D4" s="96"/>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135</v>
      </c>
      <c r="C8" s="53"/>
      <c r="D8" s="19"/>
      <c r="E8" s="1"/>
    </row>
    <row r="9" spans="1:5" x14ac:dyDescent="0.25">
      <c r="A9" s="1"/>
      <c r="B9" s="55" t="s">
        <v>63</v>
      </c>
      <c r="C9" s="7">
        <v>17131552.277608559</v>
      </c>
      <c r="D9" s="8" t="s">
        <v>3</v>
      </c>
      <c r="E9" s="1"/>
    </row>
    <row r="10" spans="1:5" x14ac:dyDescent="0.25">
      <c r="A10" s="1"/>
      <c r="B10" s="24" t="s">
        <v>32</v>
      </c>
      <c r="C10" s="7">
        <v>1064368.0571999999</v>
      </c>
      <c r="D10" s="8" t="s">
        <v>3</v>
      </c>
      <c r="E10" s="1"/>
    </row>
    <row r="11" spans="1:5" ht="15" customHeight="1" x14ac:dyDescent="0.25">
      <c r="A11" s="1"/>
      <c r="B11" s="24" t="s">
        <v>33</v>
      </c>
      <c r="C11" s="9">
        <v>189475.04800000001</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711193.78398302465</v>
      </c>
      <c r="D16" s="8" t="s">
        <v>3</v>
      </c>
      <c r="E16" s="1"/>
    </row>
    <row r="17" spans="1:5" x14ac:dyDescent="0.25">
      <c r="A17" s="1"/>
      <c r="B17" s="24" t="s">
        <v>9</v>
      </c>
      <c r="C17" s="9">
        <v>-36289.075703169015</v>
      </c>
      <c r="D17" s="8" t="s">
        <v>3</v>
      </c>
      <c r="E17" s="1"/>
    </row>
    <row r="18" spans="1:5" x14ac:dyDescent="0.25">
      <c r="A18" s="1"/>
      <c r="B18" s="24" t="s">
        <v>21</v>
      </c>
      <c r="C18" s="9">
        <v>-203308.19481415849</v>
      </c>
      <c r="D18" s="8" t="s">
        <v>3</v>
      </c>
      <c r="E18" s="1"/>
    </row>
    <row r="19" spans="1:5" x14ac:dyDescent="0.25">
      <c r="A19" s="1"/>
      <c r="B19" s="24" t="s">
        <v>22</v>
      </c>
      <c r="C19" s="9">
        <v>0</v>
      </c>
      <c r="D19" s="8" t="s">
        <v>3</v>
      </c>
      <c r="E19" s="1"/>
    </row>
    <row r="20" spans="1:5" x14ac:dyDescent="0.25">
      <c r="A20" s="1"/>
      <c r="B20" s="73" t="s">
        <v>19</v>
      </c>
      <c r="C20" s="10">
        <v>18856992.96941369</v>
      </c>
      <c r="D20" s="11" t="s">
        <v>3</v>
      </c>
      <c r="E20" s="1"/>
    </row>
    <row r="21" spans="1:5" x14ac:dyDescent="0.25">
      <c r="A21" s="1"/>
      <c r="B21" s="52" t="s">
        <v>11</v>
      </c>
      <c r="C21" s="53"/>
      <c r="D21" s="19"/>
      <c r="E21" s="1"/>
    </row>
    <row r="22" spans="1:5" x14ac:dyDescent="0.25">
      <c r="A22" s="1"/>
      <c r="B22" s="54" t="s">
        <v>11</v>
      </c>
      <c r="C22" s="10">
        <v>14875370.487894963</v>
      </c>
      <c r="D22" s="11" t="s">
        <v>3</v>
      </c>
      <c r="E22" s="1"/>
    </row>
    <row r="23" spans="1:5" x14ac:dyDescent="0.25">
      <c r="A23" s="1"/>
      <c r="B23" s="52" t="s">
        <v>39</v>
      </c>
      <c r="C23" s="53"/>
      <c r="D23" s="19"/>
      <c r="E23" s="1"/>
    </row>
    <row r="24" spans="1:5" ht="15" customHeight="1" x14ac:dyDescent="0.25">
      <c r="A24" s="1"/>
      <c r="B24" s="24" t="s">
        <v>35</v>
      </c>
      <c r="C24" s="9">
        <v>0</v>
      </c>
      <c r="D24" s="8" t="s">
        <v>3</v>
      </c>
      <c r="E24" s="1"/>
    </row>
    <row r="25" spans="1:5" ht="14.25" customHeight="1" x14ac:dyDescent="0.25">
      <c r="A25" s="1"/>
      <c r="B25" s="24" t="s">
        <v>36</v>
      </c>
      <c r="C25" s="9">
        <v>0</v>
      </c>
      <c r="D25" s="8" t="s">
        <v>3</v>
      </c>
      <c r="E25" s="1"/>
    </row>
    <row r="26" spans="1:5" ht="14.25" customHeight="1" x14ac:dyDescent="0.25">
      <c r="A26" s="1"/>
      <c r="B26" s="24" t="s">
        <v>79</v>
      </c>
      <c r="C26" s="9">
        <v>0</v>
      </c>
      <c r="D26" s="8" t="s">
        <v>3</v>
      </c>
      <c r="E26" s="1"/>
    </row>
    <row r="27" spans="1:5" ht="14.25" customHeight="1" x14ac:dyDescent="0.25">
      <c r="A27" s="1"/>
      <c r="B27" s="24" t="s">
        <v>80</v>
      </c>
      <c r="C27" s="9">
        <v>0</v>
      </c>
      <c r="D27" s="8" t="s">
        <v>3</v>
      </c>
      <c r="E27" s="1"/>
    </row>
    <row r="28" spans="1:5" ht="14.25" customHeight="1" x14ac:dyDescent="0.25">
      <c r="A28" s="1"/>
      <c r="B28" s="73" t="s">
        <v>40</v>
      </c>
      <c r="C28" s="50">
        <v>0</v>
      </c>
      <c r="D28" s="11" t="s">
        <v>3</v>
      </c>
      <c r="E28" s="1"/>
    </row>
    <row r="29" spans="1:5" x14ac:dyDescent="0.25">
      <c r="A29" s="1"/>
      <c r="B29" s="25" t="s">
        <v>65</v>
      </c>
      <c r="C29" s="53"/>
      <c r="D29" s="19"/>
      <c r="E29" s="1"/>
    </row>
    <row r="30" spans="1:5" x14ac:dyDescent="0.25">
      <c r="A30" s="1"/>
      <c r="B30" s="58" t="s">
        <v>66</v>
      </c>
      <c r="C30" s="10">
        <v>-114899</v>
      </c>
      <c r="D30" s="11" t="s">
        <v>3</v>
      </c>
      <c r="E30" s="1"/>
    </row>
    <row r="31" spans="1:5" ht="15" customHeight="1" x14ac:dyDescent="0.25">
      <c r="A31" s="1"/>
      <c r="B31" s="25" t="s">
        <v>70</v>
      </c>
      <c r="C31" s="53"/>
      <c r="D31" s="19"/>
      <c r="E31" s="1"/>
    </row>
    <row r="32" spans="1:5" ht="15.6" customHeight="1" x14ac:dyDescent="0.25">
      <c r="A32" s="1"/>
      <c r="B32" s="58" t="s">
        <v>71</v>
      </c>
      <c r="C32" s="10">
        <v>0</v>
      </c>
      <c r="D32" s="11" t="s">
        <v>3</v>
      </c>
      <c r="E32" s="1"/>
    </row>
    <row r="33" spans="1:5" ht="15.6" customHeight="1" x14ac:dyDescent="0.25">
      <c r="A33" s="1"/>
      <c r="B33" s="25" t="s">
        <v>193</v>
      </c>
      <c r="C33" s="53"/>
      <c r="D33" s="19"/>
      <c r="E33" s="1"/>
    </row>
    <row r="34" spans="1:5" ht="15.6" customHeight="1" x14ac:dyDescent="0.25">
      <c r="A34" s="1"/>
      <c r="B34" s="58" t="s">
        <v>194</v>
      </c>
      <c r="C34" s="10">
        <v>718766.69219837687</v>
      </c>
      <c r="D34" s="11" t="s">
        <v>3</v>
      </c>
      <c r="E34" s="1"/>
    </row>
    <row r="35" spans="1:5" ht="15.6" customHeight="1" x14ac:dyDescent="0.25">
      <c r="A35" s="1"/>
      <c r="B35" s="52" t="s">
        <v>67</v>
      </c>
      <c r="C35" s="29">
        <v>34336230.076367594</v>
      </c>
      <c r="D35" s="19" t="s">
        <v>3</v>
      </c>
      <c r="E35" s="1"/>
    </row>
    <row r="36" spans="1:5" ht="30" customHeight="1" x14ac:dyDescent="0.25">
      <c r="A36" s="1"/>
      <c r="B36" s="97" t="s">
        <v>195</v>
      </c>
      <c r="C36" s="97"/>
      <c r="D36" s="97"/>
      <c r="E36" s="1"/>
    </row>
    <row r="37" spans="1:5" ht="27.75" customHeight="1"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row r="51" spans="1:5" hidden="1" x14ac:dyDescent="0.25"/>
    <row r="52" spans="1:5" hidden="1" x14ac:dyDescent="0.25"/>
  </sheetData>
  <sheetProtection algorithmName="SHA-512" hashValue="07cSKdD0JogSOFIo4aikqG+AaIS2iZQyeA45Ex3KdIw8iZl8rjTsYvb0WeUmbCfQZaL/Azgyu3VWl3Z1WY5ejA==" saltValue="4V4I3s1ErlogdJSh0BBlpQ==" spinCount="100000" sheet="1" objects="1" scenarios="1"/>
  <mergeCells count="2">
    <mergeCell ref="B3:D4"/>
    <mergeCell ref="B36:D36"/>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6" t="s">
        <v>53</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7"/>
      <c r="C6" s="67"/>
      <c r="D6" s="67"/>
      <c r="E6" s="1"/>
    </row>
    <row r="7" spans="1:5" x14ac:dyDescent="0.25">
      <c r="A7" s="1"/>
      <c r="B7" s="1"/>
      <c r="C7" s="32"/>
      <c r="D7" s="1"/>
      <c r="E7" s="1"/>
    </row>
    <row r="8" spans="1:5" x14ac:dyDescent="0.25">
      <c r="A8" s="1"/>
      <c r="B8" s="98" t="s">
        <v>75</v>
      </c>
      <c r="C8" s="99"/>
      <c r="D8" s="100"/>
      <c r="E8" s="1"/>
    </row>
    <row r="9" spans="1:5" x14ac:dyDescent="0.25">
      <c r="A9" s="1"/>
      <c r="B9" s="56" t="s">
        <v>167</v>
      </c>
      <c r="C9" s="22">
        <v>9015040.7444861606</v>
      </c>
      <c r="D9" s="14" t="s">
        <v>3</v>
      </c>
      <c r="E9" s="1"/>
    </row>
    <row r="10" spans="1:5" x14ac:dyDescent="0.25">
      <c r="A10" s="1"/>
      <c r="B10" s="56" t="s">
        <v>110</v>
      </c>
      <c r="C10" s="22">
        <f>('Fane 3. Omkostninger i ØR2024'!C10+'Fane 3. Omkostninger i ØR2024'!C12+'Fane 3. Omkostninger i ØR2024'!C14)*(1+'Fane 13. Nøgletal'!C10)</f>
        <v>1150368.9962217598</v>
      </c>
      <c r="D10" s="14" t="s">
        <v>3</v>
      </c>
      <c r="E10" s="1"/>
    </row>
    <row r="11" spans="1:5" x14ac:dyDescent="0.25">
      <c r="A11" s="1"/>
      <c r="B11" s="56" t="s">
        <v>81</v>
      </c>
      <c r="C11" s="22">
        <f>C9*'Fane 13. Nøgletal'!C23+C10*'Fane 13. Nøgletal'!C23</f>
        <v>203308.1948141584</v>
      </c>
      <c r="D11" s="14" t="s">
        <v>3</v>
      </c>
      <c r="E11" s="1"/>
    </row>
    <row r="12" spans="1:5" x14ac:dyDescent="0.25">
      <c r="A12" s="1"/>
      <c r="B12" s="52"/>
      <c r="C12" s="31"/>
      <c r="D12" s="19"/>
      <c r="E12" s="1"/>
    </row>
    <row r="13" spans="1:5" x14ac:dyDescent="0.25">
      <c r="A13" s="1"/>
      <c r="B13" s="1"/>
      <c r="C13" s="32"/>
      <c r="D13" s="1"/>
      <c r="E13" s="1"/>
    </row>
    <row r="14" spans="1:5" x14ac:dyDescent="0.25">
      <c r="A14" s="1"/>
      <c r="B14" s="98" t="s">
        <v>153</v>
      </c>
      <c r="C14" s="99"/>
      <c r="D14" s="100"/>
      <c r="E14" s="1"/>
    </row>
    <row r="15" spans="1:5" x14ac:dyDescent="0.25">
      <c r="A15" s="1"/>
      <c r="B15" s="56" t="s">
        <v>168</v>
      </c>
      <c r="C15" s="22">
        <f>(C9+C10-C11)*(1+'Fane 13. Nøgletal'!C11)</f>
        <v>10622588.87838652</v>
      </c>
      <c r="D15" s="14" t="s">
        <v>3</v>
      </c>
      <c r="E15" s="1"/>
    </row>
    <row r="16" spans="1:5" x14ac:dyDescent="0.25">
      <c r="A16" s="1"/>
      <c r="B16" s="56" t="s">
        <v>154</v>
      </c>
      <c r="C16" s="22">
        <f>('Fane 2.1. Økonomisk ramme 2025'!C10+'Fane 2.1. Økonomisk ramme 2025'!C12+'Fane 2.1. Økonomisk ramme 2025'!C14)*(1+'Fane 13. Nøgletal'!C11)</f>
        <v>287185.78236727003</v>
      </c>
      <c r="D16" s="14" t="s">
        <v>3</v>
      </c>
      <c r="E16" s="1"/>
    </row>
    <row r="17" spans="1:5" x14ac:dyDescent="0.25">
      <c r="A17" s="1"/>
      <c r="B17" s="56" t="s">
        <v>155</v>
      </c>
      <c r="C17" s="22">
        <f>(C15+C16)*'Fane 13. Nøgletal'!C23</f>
        <v>218195.49321507581</v>
      </c>
      <c r="D17" s="14" t="s">
        <v>3</v>
      </c>
      <c r="E17" s="1"/>
    </row>
    <row r="18" spans="1:5" x14ac:dyDescent="0.25">
      <c r="A18" s="1"/>
      <c r="B18" s="52"/>
      <c r="C18" s="31"/>
      <c r="D18" s="19"/>
      <c r="E18" s="1"/>
    </row>
    <row r="19" spans="1:5" x14ac:dyDescent="0.25">
      <c r="A19" s="1"/>
      <c r="B19" s="1"/>
      <c r="C19" s="32"/>
      <c r="D19" s="1"/>
      <c r="E19" s="1"/>
    </row>
    <row r="20" spans="1:5" x14ac:dyDescent="0.25">
      <c r="A20" s="1"/>
      <c r="B20" s="98" t="s">
        <v>170</v>
      </c>
      <c r="C20" s="99"/>
      <c r="D20" s="100"/>
      <c r="E20" s="1"/>
    </row>
    <row r="21" spans="1:5" x14ac:dyDescent="0.25">
      <c r="A21" s="1"/>
      <c r="B21" s="56" t="s">
        <v>169</v>
      </c>
      <c r="C21" s="48">
        <f>(C15+C16-C17)*(1+'Fane 13. Nøgletal'!C11)</f>
        <v>11400430.866346531</v>
      </c>
      <c r="D21" s="14" t="s">
        <v>3</v>
      </c>
      <c r="E21" s="1"/>
    </row>
    <row r="22" spans="1:5" x14ac:dyDescent="0.25">
      <c r="A22" s="1"/>
      <c r="B22" s="56" t="s">
        <v>171</v>
      </c>
      <c r="C22" s="48">
        <f>(C21)*'Fane 13. Nøgletal'!C23</f>
        <v>228008.61732693063</v>
      </c>
      <c r="D22" s="14" t="s">
        <v>3</v>
      </c>
      <c r="E22" s="1"/>
    </row>
    <row r="23" spans="1:5" x14ac:dyDescent="0.25">
      <c r="A23" s="1"/>
      <c r="B23" s="52"/>
      <c r="C23" s="31"/>
      <c r="D23" s="19"/>
      <c r="E23" s="1"/>
    </row>
    <row r="24" spans="1:5" x14ac:dyDescent="0.25">
      <c r="A24" s="1"/>
      <c r="B24" s="1"/>
      <c r="C24" s="32"/>
      <c r="D24" s="1"/>
      <c r="E24" s="1"/>
    </row>
    <row r="25" spans="1:5" x14ac:dyDescent="0.25">
      <c r="A25" s="1"/>
      <c r="B25" s="98" t="s">
        <v>116</v>
      </c>
      <c r="C25" s="99"/>
      <c r="D25" s="100"/>
      <c r="E25" s="1"/>
    </row>
    <row r="26" spans="1:5" x14ac:dyDescent="0.25">
      <c r="A26" s="1"/>
      <c r="B26" s="56" t="s">
        <v>117</v>
      </c>
      <c r="C26" s="48">
        <f>(C21-C22)*(1+'Fane 13. Nøgletal'!C11)</f>
        <v>11913153.8441296</v>
      </c>
      <c r="D26" s="14" t="s">
        <v>3</v>
      </c>
      <c r="E26" s="1"/>
    </row>
    <row r="27" spans="1:5" x14ac:dyDescent="0.25">
      <c r="A27" s="1"/>
      <c r="B27" s="56" t="s">
        <v>118</v>
      </c>
      <c r="C27" s="48">
        <f>(C26)*'Fane 13. Nøgletal'!C23</f>
        <v>238263.07688259199</v>
      </c>
      <c r="D27" s="14" t="s">
        <v>3</v>
      </c>
      <c r="E27" s="1"/>
    </row>
    <row r="28" spans="1:5" x14ac:dyDescent="0.25">
      <c r="A28" s="1"/>
      <c r="B28" s="52"/>
      <c r="C28" s="42"/>
      <c r="D28" s="19"/>
      <c r="E28" s="1"/>
    </row>
    <row r="29" spans="1:5" x14ac:dyDescent="0.25">
      <c r="A29" s="1"/>
      <c r="B29" s="1"/>
      <c r="C29" s="32"/>
      <c r="D29" s="1"/>
      <c r="E29" s="1"/>
    </row>
    <row r="30" spans="1:5" x14ac:dyDescent="0.25">
      <c r="A30" s="1"/>
      <c r="B30" s="98" t="s">
        <v>136</v>
      </c>
      <c r="C30" s="99"/>
      <c r="D30" s="100"/>
      <c r="E30" s="1"/>
    </row>
    <row r="31" spans="1:5" x14ac:dyDescent="0.25">
      <c r="A31" s="1"/>
      <c r="B31" s="56" t="s">
        <v>137</v>
      </c>
      <c r="C31" s="48">
        <f>(C26-C27)*(1+'Fane 13. Nøgletal'!C11)</f>
        <v>12448936.025115484</v>
      </c>
      <c r="D31" s="14" t="s">
        <v>3</v>
      </c>
      <c r="E31" s="1"/>
    </row>
    <row r="32" spans="1:5" x14ac:dyDescent="0.25">
      <c r="A32" s="1"/>
      <c r="B32" s="56" t="s">
        <v>138</v>
      </c>
      <c r="C32" s="48">
        <f>(C31)*'Fane 13. Nøgletal'!C23</f>
        <v>248978.7205023097</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YA8vWRBOnjAYkGQ9xxAtljhi7VMSplfsFJivpS6U3k0PUdFUhVTkTs1MwpPFSkntJV8ddVJ+/rFXDoPa6PbsIg==" saltValue="3ttbbsT3/Hgp7c/kmvb62Q=="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1" t="s">
        <v>54</v>
      </c>
      <c r="C3" s="102"/>
      <c r="D3" s="102"/>
      <c r="E3" s="1"/>
    </row>
    <row r="4" spans="1:5" ht="15" customHeight="1" x14ac:dyDescent="0.25">
      <c r="A4" s="1"/>
      <c r="B4" s="102"/>
      <c r="C4" s="102"/>
      <c r="D4" s="102"/>
      <c r="E4" s="1"/>
    </row>
    <row r="5" spans="1:5" ht="15" customHeight="1" x14ac:dyDescent="0.25">
      <c r="A5" s="1"/>
      <c r="B5" s="102"/>
      <c r="C5" s="102"/>
      <c r="D5" s="102"/>
      <c r="E5" s="1"/>
    </row>
    <row r="6" spans="1:5" ht="15" customHeight="1" x14ac:dyDescent="0.25">
      <c r="A6" s="1"/>
      <c r="B6" s="1"/>
      <c r="C6" s="1"/>
      <c r="D6" s="1"/>
      <c r="E6" s="1"/>
    </row>
    <row r="7" spans="1:5" ht="15" customHeight="1" x14ac:dyDescent="0.25">
      <c r="A7" s="1"/>
      <c r="B7" s="1"/>
      <c r="C7" s="1"/>
      <c r="D7" s="1"/>
      <c r="E7" s="1"/>
    </row>
    <row r="8" spans="1:5" x14ac:dyDescent="0.25">
      <c r="A8" s="1"/>
      <c r="B8" s="98" t="s">
        <v>76</v>
      </c>
      <c r="C8" s="99"/>
      <c r="D8" s="100"/>
      <c r="E8" s="1"/>
    </row>
    <row r="9" spans="1:5" x14ac:dyDescent="0.25">
      <c r="A9" s="1"/>
      <c r="B9" s="56" t="s">
        <v>162</v>
      </c>
      <c r="C9" s="48">
        <v>9933921.4037323929</v>
      </c>
      <c r="D9" s="14" t="s">
        <v>3</v>
      </c>
      <c r="E9" s="1"/>
    </row>
    <row r="10" spans="1:5" x14ac:dyDescent="0.25">
      <c r="A10" s="1"/>
      <c r="B10" s="56" t="s">
        <v>113</v>
      </c>
      <c r="C10" s="48">
        <f>('Fane 3. Omkostninger i ØR2024'!C11+'Fane 3. Omkostninger i ØR2024'!C13+'Fane 3. Omkostninger i ØR2024'!C15)*(1+'Fane 13. Nøgletal'!C10)</f>
        <v>204784.63187840002</v>
      </c>
      <c r="D10" s="14" t="s">
        <v>3</v>
      </c>
      <c r="E10" s="1"/>
    </row>
    <row r="11" spans="1:5" x14ac:dyDescent="0.25">
      <c r="A11" s="1"/>
      <c r="B11" s="56" t="s">
        <v>114</v>
      </c>
      <c r="C11" s="75">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8" t="s">
        <v>156</v>
      </c>
      <c r="C14" s="99"/>
      <c r="D14" s="100"/>
      <c r="E14" s="1"/>
    </row>
    <row r="15" spans="1:5" x14ac:dyDescent="0.25">
      <c r="A15" s="1"/>
      <c r="B15" s="56" t="s">
        <v>163</v>
      </c>
      <c r="C15" s="48">
        <f>(C9+C10-C11)*(1+'Fane 13. Nøgletal'!C11)</f>
        <v>10810902.24577179</v>
      </c>
      <c r="D15" s="14" t="s">
        <v>3</v>
      </c>
      <c r="E15" s="1"/>
    </row>
    <row r="16" spans="1:5" x14ac:dyDescent="0.25">
      <c r="A16" s="1"/>
      <c r="B16" s="56" t="s">
        <v>157</v>
      </c>
      <c r="C16" s="48">
        <f>('Fane 2.1. Økonomisk ramme 2025'!C11+'Fane 2.1. Økonomisk ramme 2025'!C13+'Fane 2.1. Økonomisk ramme 2025'!C15)*(1+'Fane 13. Nøgletal'!C11)</f>
        <v>204352.23536370002</v>
      </c>
      <c r="D16" s="14" t="s">
        <v>3</v>
      </c>
      <c r="E16" s="1"/>
    </row>
    <row r="17" spans="1:5" x14ac:dyDescent="0.25">
      <c r="A17" s="1"/>
      <c r="B17" s="56" t="s">
        <v>158</v>
      </c>
      <c r="C17" s="75">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8" t="s">
        <v>166</v>
      </c>
      <c r="C20" s="99"/>
      <c r="D20" s="100"/>
      <c r="E20" s="1"/>
    </row>
    <row r="21" spans="1:5" x14ac:dyDescent="0.25">
      <c r="A21" s="1"/>
      <c r="B21" s="56" t="s">
        <v>164</v>
      </c>
      <c r="C21" s="48">
        <f>(C15+C16-C17)*(1+'Fane 13. Nøgletal'!C11)</f>
        <v>11745565.853234774</v>
      </c>
      <c r="D21" s="14" t="s">
        <v>3</v>
      </c>
      <c r="E21" s="1"/>
    </row>
    <row r="22" spans="1:5" x14ac:dyDescent="0.25">
      <c r="A22" s="1"/>
      <c r="B22" s="56" t="s">
        <v>165</v>
      </c>
      <c r="C22" s="75">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8" t="s">
        <v>119</v>
      </c>
      <c r="C25" s="99"/>
      <c r="D25" s="100"/>
      <c r="E25" s="1"/>
    </row>
    <row r="26" spans="1:5" x14ac:dyDescent="0.25">
      <c r="A26" s="1"/>
      <c r="B26" s="56" t="s">
        <v>120</v>
      </c>
      <c r="C26" s="48">
        <f>(C21-C22)*(1+'Fane 13. Nøgletal'!C11)</f>
        <v>12524296.86930424</v>
      </c>
      <c r="D26" s="14" t="s">
        <v>3</v>
      </c>
      <c r="E26" s="1"/>
    </row>
    <row r="27" spans="1:5" x14ac:dyDescent="0.25">
      <c r="A27" s="1"/>
      <c r="B27" s="56" t="s">
        <v>121</v>
      </c>
      <c r="C27" s="75">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8" t="s">
        <v>139</v>
      </c>
      <c r="C30" s="99"/>
      <c r="D30" s="100"/>
      <c r="E30" s="1"/>
    </row>
    <row r="31" spans="1:5" x14ac:dyDescent="0.25">
      <c r="A31" s="1"/>
      <c r="B31" s="56" t="s">
        <v>140</v>
      </c>
      <c r="C31" s="48">
        <f>(C26-C27)*(1+'Fane 13. Nøgletal'!C11)</f>
        <v>13354657.751739111</v>
      </c>
      <c r="D31" s="14" t="s">
        <v>3</v>
      </c>
      <c r="E31" s="1"/>
    </row>
    <row r="32" spans="1:5" x14ac:dyDescent="0.25">
      <c r="A32" s="1"/>
      <c r="B32" s="56" t="s">
        <v>141</v>
      </c>
      <c r="C32" s="75">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Byni2X/vi7vE0LEMJS8fI1JUTm3uS/+BiiZVGbfMQzDqiU3DVEQdd7RZllDOKvKcbiNnDoHx/mg6cJnkmI7Lyg==" saltValue="kLU89hAsdKJyUpdP2vGETA=="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4" t="s">
        <v>41</v>
      </c>
      <c r="C3" s="94"/>
      <c r="D3" s="1"/>
    </row>
    <row r="4" spans="1:4" ht="15" customHeight="1" x14ac:dyDescent="0.25">
      <c r="A4" s="1"/>
      <c r="B4" s="94"/>
      <c r="C4" s="9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8" t="s">
        <v>9</v>
      </c>
      <c r="C8" s="100"/>
      <c r="D8" s="1"/>
    </row>
    <row r="9" spans="1:4" x14ac:dyDescent="0.25">
      <c r="A9" s="1"/>
      <c r="B9" s="56" t="s">
        <v>160</v>
      </c>
      <c r="C9" s="44">
        <v>1.8404865448313011E-3</v>
      </c>
      <c r="D9" s="1"/>
    </row>
    <row r="10" spans="1:4" x14ac:dyDescent="0.25">
      <c r="A10" s="1"/>
      <c r="B10" s="52"/>
      <c r="C10" s="19"/>
      <c r="D10" s="1"/>
    </row>
    <row r="11" spans="1:4" ht="15" customHeight="1" x14ac:dyDescent="0.25">
      <c r="A11" s="1"/>
      <c r="B11" s="103" t="s">
        <v>161</v>
      </c>
      <c r="C11" s="104"/>
      <c r="D11" s="1"/>
    </row>
    <row r="12" spans="1:4" ht="13.5" customHeight="1" x14ac:dyDescent="0.25">
      <c r="A12" s="1"/>
      <c r="B12" s="105"/>
      <c r="C12" s="106"/>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XqmZX9ATtD6gy38QgOi1VO7G1MU3w4ubGWnLs0nNkh/UoTs74qnDRoT76AUJo4ESKp/S7sA0aqzjpAJe0ei/Ag==" saltValue="i0PRwLX0PuqT7lE71EmOmw=="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2024-09-05T07:12:25Z</dcterms:modified>
</cp:coreProperties>
</file>