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Thisted Drikkevand AS (V184)\ØR2024\"/>
    </mc:Choice>
  </mc:AlternateContent>
  <xr:revisionPtr revIDLastSave="0" documentId="13_ncr:1_{DBE7A635-53EC-406D-AFB4-1B0D726E57F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<sst xmlns="http://schemas.openxmlformats.org/spreadsheetml/2006/main" count="550" uniqueCount="262">
  <si>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</si>
  <si>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</si>
  <si>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</si>
  <si>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</si>
  <si>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</si>
  <si>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</si>
  <si>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</si>
  <si>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</si>
  <si>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</si>
  <si>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</si>
  <si>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</si>
  <si>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</si>
  <si>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</si>
  <si>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</si>
  <si>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</si>
  <si>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</si>
  <si>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</si>
  <si>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</si>
  <si>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</si>
  <si>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</si>
  <si>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</si>
  <si>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</si>
  <si>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</si>
  <si>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</si>
  <si>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</si>
  <si>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</si>
  <si>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</si>
  <si>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</si>
  <si>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</si>
  <si>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</si>
  <si>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</si>
  <si>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</si>
  <si>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</si>
  <si>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</si>
  <si>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</si>
  <si>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</si>
  <si>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</si>
  <si>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</si>
  <si>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</si>
  <si>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</si>
  <si>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</si>
  <si>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</si>
  <si>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</si>
  <si>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</si>
  <si>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</si>
  <si>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</si>
  <si>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</si>
  <si>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</si>
  <si>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</si>
  <si>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</si>
  <si>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</si>
  <si>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</si>
  <si>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</si>
  <si>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</si>
  <si>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</si>
  <si>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</si>
  <si>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</si>
  <si>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</si>
  <si>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</si>
  <si>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</si>
  <si>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</si>
  <si>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</si>
  <si>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</si>
  <si>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</si>
  <si>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</si>
  <si>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</si>
  <si>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</si>
  <si>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</si>
  <si>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</si>
  <si>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</si>
  <si>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</si>
  <si>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</si>
  <si>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</si>
  <si>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</si>
  <si>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</si>
  <si>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</si>
  <si>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</si>
  <si>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</si>
  <si>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</si>
  <si>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</si>
  <si>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</si>
  <si>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</si>
  <si>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</si>
  <si>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</si>
  <si>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</si>
  <si>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</si>
  <si>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</si>
  <si>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</si>
  <si>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</si>
  <si>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</si>
  <si>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</si>
  <si>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</si>
  <si>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</si>
  <si>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</si>
  <si>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</si>
  <si>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</si>
  <si>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</si>
  <si>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</si>
  <si>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</si>
  <si>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</si>
  <si>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</si>
  <si>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</si>
  <si>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</si>
  <si>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</si>
  <si>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</si>
  <si>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</si>
  <si>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</si>
  <si>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</si>
  <si>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</si>
  <si>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</si>
  <si>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</si>
  <si>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</si>
  <si>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</si>
  <si>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</si>
  <si>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</si>
  <si>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</si>
  <si>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</si>
  <si>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</si>
  <si>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</si>
  <si>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</si>
  <si>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</si>
  <si>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</si>
  <si>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</si>
  <si>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</si>
  <si>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</si>
  <si>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</si>
  <si>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</si>
  <si>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</si>
  <si>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</si>
  <si>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</si>
  <si>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</si>
  <si>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</si>
  <si>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</si>
  <si>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</si>
  <si>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</si>
  <si>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</si>
  <si>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</si>
  <si>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</si>
  <si>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</si>
  <si>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</si>
  <si>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</si>
  <si>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</si>
  <si>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</si>
  <si>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</si>
  <si>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</si>
  <si>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</si>
  <si>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</si>
  <si>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</si>
  <si>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</si>
  <si>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</si>
  <si>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</si>
  <si>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</si>
  <si>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</si>
  <si>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</si>
  <si>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</si>
  <si>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</si>
  <si>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</si>
  <si>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</si>
  <si>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</si>
  <si>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</si>
  <si>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</si>
  <si>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</si>
  <si>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</si>
  <si>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</si>
  <si>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</si>
  <si>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</si>
  <si>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</si>
  <si>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</si>
  <si>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</si>
  <si>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</si>
  <si>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</si>
  <si>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</si>
  <si>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</si>
  <si>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</si>
  <si>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</si>
  <si>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</si>
  <si>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</si>
  <si>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</si>
  <si>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</si>
  <si>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</si>
  <si>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</si>
  <si>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</si>
  <si>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</si>
  <si>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</si>
  <si>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</si>
  <si>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</si>
  <si>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</si>
  <si>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</si>
  <si>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</si>
  <si>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</si>
  <si>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</si>
  <si>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</si>
  <si>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</si>
  <si>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</si>
  <si>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</si>
  <si>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</si>
  <si>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</si>
  <si>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</si>
  <si>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</si>
  <si>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</si>
  <si>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</si>
  <si>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</si>
  <si>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</si>
  <si>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</si>
  <si>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</si>
  <si>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</si>
  <si>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</si>
  <si>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</si>
  <si>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</si>
  <si>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</si>
  <si>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</si>
  <si>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</si>
  <si>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</si>
  <si>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</si>
  <si>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</si>
  <si>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</si>
  <si>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</si>
  <si>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</si>
  <si>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</si>
  <si>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</si>
  <si>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</si>
  <si>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</si>
  <si>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</si>
  <si>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</si>
  <si>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</si>
  <si>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</si>
  <si>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</si>
  <si>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</si>
  <si>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</si>
  <si>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</si>
  <si>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</si>
  <si>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</si>
  <si>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</si>
  <si>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</si>
  <si>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</si>
  <si>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</si>
  <si>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</si>
  <si>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</si>
  <si>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</si>
  <si>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</si>
  <si>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</si>
  <si>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</si>
  <si>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</si>
  <si>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</si>
  <si>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</si>
  <si>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</si>
  <si>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</si>
  <si>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</si>
  <si>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</si>
  <si>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</si>
  <si>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</si>
  <si>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</si>
  <si>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</si>
  <si>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</si>
  <si>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</si>
  <si>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</si>
  <si>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</si>
  <si>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</si>
  <si>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Statsligt eller kommunalt fastsatte, pålagte eller godkendte mål</t>
  </si>
  <si>
    <t>Udvidelse af forsyningsområdet eller håndterede vandmængder</t>
  </si>
  <si>
    <t>Periodevise driftsomkostninger</t>
  </si>
  <si>
    <t>Periodvise driftsomkostninger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</si>
</sst>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TcdT3PhkVzCFe/4mnw7RKDHoOaPBGAvR+9Ailyu7iWVlr71OsFrYjyodqc18NL+cottEKNmuPjxY8VzogXZ54w==" saltValue="VID385JpyFWv4sQnZBl4e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8" t="s">
        <v>243</v>
      </c>
      <c r="C10" s="9">
        <v>19515617</v>
      </c>
      <c r="D10" s="14" t="s">
        <v>3</v>
      </c>
      <c r="E10" s="1"/>
      <c r="F10" s="1"/>
    </row>
    <row r="11" spans="1:6" x14ac:dyDescent="0.25">
      <c r="A11" s="1"/>
      <c r="B11" s="68" t="s">
        <v>244</v>
      </c>
      <c r="C11" s="9">
        <v>134618</v>
      </c>
      <c r="D11" s="14" t="s">
        <v>3</v>
      </c>
      <c r="E11" s="1"/>
      <c r="F11" s="1"/>
    </row>
    <row r="12" spans="1:6" x14ac:dyDescent="0.25">
      <c r="A12" s="1"/>
      <c r="B12" s="68"/>
      <c r="C12" s="9"/>
      <c r="D12" s="14" t="s">
        <v>3</v>
      </c>
      <c r="E12" s="1"/>
      <c r="F12" s="1"/>
    </row>
    <row r="13" spans="1:6" x14ac:dyDescent="0.25">
      <c r="A13" s="1"/>
      <c r="B13" s="68"/>
      <c r="C13" s="9"/>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3" t="s">
        <v>213</v>
      </c>
      <c r="C19" s="12">
        <f>SUM(C10:C18)</f>
        <v>19650235</v>
      </c>
      <c r="D19" s="13" t="s">
        <v>3</v>
      </c>
      <c r="E19" s="1"/>
      <c r="F19" s="1"/>
    </row>
    <row r="20" spans="1:6" x14ac:dyDescent="0.25">
      <c r="A20" s="1"/>
      <c r="B20" s="53" t="s">
        <v>214</v>
      </c>
      <c r="C20" s="12">
        <f>C19*(1+'Fane 13. Nøgletal'!C16)^2</f>
        <v>22954002.2862304</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BYjP1h9ACVQ4aUmQqf7aAVUN0A33P9cIOkkSGjIsXz2tSzis7E2OzmQT5/B2YVpe0vql2+mlCYKKIOEWRADQ9g==" saltValue="uDXlolHgLU1vqNK6Ksi/u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AC8E-AE36-4B9F-8AC9-4EE8B1A31C20}">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1" t="s">
        <v>245</v>
      </c>
      <c r="C8" s="102"/>
      <c r="D8" s="102"/>
      <c r="E8" s="102"/>
      <c r="F8" s="103"/>
      <c r="G8" s="1"/>
    </row>
    <row r="9" spans="1:7" x14ac:dyDescent="0.25">
      <c r="A9" s="1"/>
      <c r="B9" s="104" t="s">
        <v>246</v>
      </c>
      <c r="C9" s="105"/>
      <c r="D9" s="106"/>
      <c r="E9" s="28">
        <v>-1790267</v>
      </c>
      <c r="F9" s="14" t="s">
        <v>3</v>
      </c>
      <c r="G9" s="1"/>
    </row>
    <row r="10" spans="1:7" x14ac:dyDescent="0.25">
      <c r="A10" s="1"/>
      <c r="B10" s="53"/>
      <c r="C10" s="54"/>
      <c r="D10" s="54"/>
      <c r="E10" s="54"/>
      <c r="F10" s="19"/>
      <c r="G10" s="1"/>
    </row>
    <row r="11" spans="1:7" ht="53.25" customHeight="1" x14ac:dyDescent="0.25">
      <c r="A11" s="1"/>
      <c r="B11" s="126" t="s">
        <v>247</v>
      </c>
      <c r="C11" s="127"/>
      <c r="D11" s="127"/>
      <c r="E11" s="127"/>
      <c r="F11" s="128"/>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248</v>
      </c>
      <c r="C14" s="105"/>
      <c r="D14" s="106"/>
      <c r="E14" s="9">
        <v>0</v>
      </c>
      <c r="F14" s="14" t="s">
        <v>3</v>
      </c>
      <c r="G14" s="1"/>
    </row>
    <row r="15" spans="1:7" x14ac:dyDescent="0.25">
      <c r="A15" s="1"/>
      <c r="B15" s="104" t="s">
        <v>249</v>
      </c>
      <c r="C15" s="105"/>
      <c r="D15" s="106"/>
      <c r="E15" s="9">
        <v>0</v>
      </c>
      <c r="F15" s="14" t="s">
        <v>3</v>
      </c>
      <c r="G15" s="1"/>
    </row>
    <row r="16" spans="1:7" x14ac:dyDescent="0.25">
      <c r="A16" s="1"/>
      <c r="B16" s="53"/>
      <c r="C16" s="54"/>
      <c r="D16" s="54"/>
      <c r="E16" s="54"/>
      <c r="F16" s="19"/>
      <c r="G16" s="1"/>
    </row>
    <row r="17" spans="1:7" ht="32.25" customHeight="1" x14ac:dyDescent="0.25">
      <c r="A17" s="1"/>
      <c r="B17" s="126" t="s">
        <v>250</v>
      </c>
      <c r="C17" s="127"/>
      <c r="D17" s="127"/>
      <c r="E17" s="127"/>
      <c r="F17" s="128"/>
      <c r="G17" s="1"/>
    </row>
    <row r="18" spans="1:7" x14ac:dyDescent="0.25">
      <c r="A18" s="1"/>
      <c r="B18" s="1"/>
      <c r="C18" s="1"/>
      <c r="D18" s="1"/>
      <c r="E18" s="1"/>
      <c r="F18" s="1"/>
      <c r="G18" s="1"/>
    </row>
    <row r="19" spans="1:7" x14ac:dyDescent="0.25">
      <c r="A19" s="1"/>
      <c r="B19" s="69" t="s">
        <v>251</v>
      </c>
      <c r="C19" s="70"/>
      <c r="D19" s="70"/>
      <c r="E19" s="70"/>
      <c r="F19" s="71"/>
      <c r="G19" s="1"/>
    </row>
    <row r="20" spans="1:7" x14ac:dyDescent="0.25">
      <c r="A20" s="1"/>
      <c r="B20" s="65" t="s">
        <v>252</v>
      </c>
      <c r="C20" s="66"/>
      <c r="D20" s="67"/>
      <c r="E20" s="9">
        <v>45326617</v>
      </c>
      <c r="F20" s="14" t="s">
        <v>3</v>
      </c>
      <c r="G20" s="1"/>
    </row>
    <row r="21" spans="1:7" x14ac:dyDescent="0.25">
      <c r="A21" s="1"/>
      <c r="B21" s="65" t="s">
        <v>253</v>
      </c>
      <c r="C21" s="66"/>
      <c r="D21" s="67"/>
      <c r="E21" s="9">
        <v>45245883</v>
      </c>
      <c r="F21" s="14" t="s">
        <v>3</v>
      </c>
      <c r="G21" s="1"/>
    </row>
    <row r="22" spans="1:7" x14ac:dyDescent="0.25">
      <c r="A22" s="1"/>
      <c r="B22" s="65" t="s">
        <v>29</v>
      </c>
      <c r="C22" s="66"/>
      <c r="D22" s="67"/>
      <c r="E22" s="9">
        <v>0</v>
      </c>
      <c r="F22" s="14" t="s">
        <v>3</v>
      </c>
      <c r="G22" s="1"/>
    </row>
    <row r="23" spans="1:7" x14ac:dyDescent="0.25">
      <c r="A23" s="1"/>
      <c r="B23" s="73" t="s">
        <v>254</v>
      </c>
      <c r="C23" s="74"/>
      <c r="D23" s="75"/>
      <c r="E23" s="10">
        <f>E20-(E21-E22)</f>
        <v>80734</v>
      </c>
      <c r="F23" s="17" t="s">
        <v>3</v>
      </c>
      <c r="G23" s="1"/>
    </row>
    <row r="24" spans="1:7" x14ac:dyDescent="0.25">
      <c r="A24" s="1"/>
      <c r="B24" s="53"/>
      <c r="C24" s="54"/>
      <c r="D24" s="54"/>
      <c r="E24" s="54"/>
      <c r="F24" s="19"/>
      <c r="G24" s="1"/>
    </row>
    <row r="25" spans="1:7" x14ac:dyDescent="0.25">
      <c r="A25" s="1"/>
      <c r="B25" s="1"/>
      <c r="C25" s="1"/>
      <c r="D25" s="1"/>
      <c r="E25" s="1"/>
      <c r="F25" s="1"/>
      <c r="G25" s="1"/>
    </row>
    <row r="26" spans="1:7" x14ac:dyDescent="0.25">
      <c r="A26" s="1"/>
      <c r="B26" s="101" t="s">
        <v>255</v>
      </c>
      <c r="C26" s="102"/>
      <c r="D26" s="102"/>
      <c r="E26" s="102"/>
      <c r="F26" s="103"/>
      <c r="G26" s="1"/>
    </row>
    <row r="27" spans="1:7" x14ac:dyDescent="0.25">
      <c r="A27" s="1"/>
      <c r="B27" s="129" t="s">
        <v>256</v>
      </c>
      <c r="C27" s="130"/>
      <c r="D27" s="131"/>
      <c r="E27" s="62">
        <f>IF(AND(E15&lt;0,E23&gt;0,ABS(SUM(E14:E15))&lt;E23),ABS(E14),IF(AND(E15&lt;0,E23&gt;0,ABS(SUM(E14:E15))&gt;E23),SUM(E14,E23),0))</f>
        <v>0</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257</v>
      </c>
      <c r="C30" s="102"/>
      <c r="D30" s="102"/>
      <c r="E30" s="102"/>
      <c r="F30" s="103"/>
      <c r="G30" s="1"/>
    </row>
    <row r="31" spans="1:7" x14ac:dyDescent="0.25">
      <c r="A31" s="1"/>
      <c r="B31" s="119" t="s">
        <v>117</v>
      </c>
      <c r="C31" s="120"/>
      <c r="D31" s="121"/>
      <c r="E31" s="63">
        <f>IF(AND(E9&gt;0,(E9+E23)&gt;0),0,IF(AND(E9&gt;0,(E9+E23)&lt;0),(E9+E23),IF(AND(E9&lt;0,E23&lt;0),E23,0)))</f>
        <v>0</v>
      </c>
      <c r="F31" s="14" t="s">
        <v>3</v>
      </c>
      <c r="G31" s="1"/>
    </row>
    <row r="32" spans="1:7" x14ac:dyDescent="0.25">
      <c r="A32" s="1"/>
      <c r="B32" s="119" t="s">
        <v>85</v>
      </c>
      <c r="C32" s="120"/>
      <c r="D32" s="121"/>
      <c r="E32" s="9">
        <v>2</v>
      </c>
      <c r="F32" s="14" t="s">
        <v>18</v>
      </c>
      <c r="G32" s="1"/>
    </row>
    <row r="33" spans="1:7" x14ac:dyDescent="0.25">
      <c r="A33" s="1"/>
      <c r="B33" s="122" t="s">
        <v>116</v>
      </c>
      <c r="C33" s="122"/>
      <c r="D33" s="122"/>
      <c r="E33" s="62">
        <f>E31/E32</f>
        <v>0</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Xhd1UaKs/6CrSk8RaSABIerGN/Rb2VVRMALOmRAcnjCZbjPgTd5EB3wPhCqKjCUALLY0tfXmbIvurID7Xl0yg==" saltValue="IQru9wJRleFlwyLrDSgtsQ=="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V2Xl6pbE/BzBZigBp9cp5hivneKmrywz/OCGqGSsbzk2926bQ06KK1tzTYgQMl2UK7F4e07KBraJDdsTYy8WA==" saltValue="3u5s/vB2tWij4kbD1T341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7">
        <f>IFERROR(D10/C10,0)</f>
        <v>0</v>
      </c>
      <c r="G10" s="14" t="s">
        <v>3</v>
      </c>
      <c r="H10" s="9">
        <v>0</v>
      </c>
      <c r="I10" s="14" t="s">
        <v>3</v>
      </c>
      <c r="J10" s="9">
        <v>0</v>
      </c>
      <c r="K10" s="14" t="s">
        <v>3</v>
      </c>
      <c r="L10" s="1"/>
    </row>
    <row r="11" spans="1:12" x14ac:dyDescent="0.25">
      <c r="A11" s="1"/>
      <c r="B11" s="53" t="s">
        <v>215</v>
      </c>
      <c r="C11" s="54"/>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6voEIPRIu6zhWRckALQ6YIDabMhln+aliDGrqd6fSlgxj+7npDLTOAjRlO54iCsjQWMy0LvXi3h3MAyy4eo7Tw==" saltValue="8M+wWWqp7kqRF8t3jgHzm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70</v>
      </c>
      <c r="C8" s="54"/>
      <c r="D8" s="54"/>
      <c r="E8" s="54"/>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ht="26.25" x14ac:dyDescent="0.25">
      <c r="A11" s="1"/>
      <c r="B11" s="78" t="s">
        <v>258</v>
      </c>
      <c r="C11" s="21">
        <v>967150</v>
      </c>
      <c r="D11" s="14" t="s">
        <v>3</v>
      </c>
      <c r="E11" s="9">
        <v>1799599</v>
      </c>
      <c r="F11" s="14" t="s">
        <v>3</v>
      </c>
      <c r="G11" s="1"/>
    </row>
    <row r="12" spans="1:7" ht="26.25" x14ac:dyDescent="0.25">
      <c r="A12" s="1"/>
      <c r="B12" s="78" t="s">
        <v>259</v>
      </c>
      <c r="C12" s="21">
        <v>44298.93</v>
      </c>
      <c r="D12" s="14" t="s">
        <v>3</v>
      </c>
      <c r="E12" s="9">
        <v>32806.71</v>
      </c>
      <c r="F12" s="14" t="s">
        <v>3</v>
      </c>
      <c r="G12" s="1"/>
    </row>
    <row r="13" spans="1:7" x14ac:dyDescent="0.25">
      <c r="A13" s="1"/>
      <c r="B13" s="27" t="s">
        <v>260</v>
      </c>
      <c r="C13" s="21">
        <v>121117</v>
      </c>
      <c r="D13" s="14" t="s">
        <v>3</v>
      </c>
      <c r="E13" s="9">
        <v>0</v>
      </c>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3" t="s">
        <v>151</v>
      </c>
      <c r="C17" s="12">
        <f>SUM(C10:C16)</f>
        <v>1132565.9300000002</v>
      </c>
      <c r="D17" s="13" t="s">
        <v>3</v>
      </c>
      <c r="E17" s="12">
        <f>SUM(E10:E16)</f>
        <v>1832405.71</v>
      </c>
      <c r="F17" s="13" t="s">
        <v>3</v>
      </c>
      <c r="G17" s="1"/>
    </row>
    <row r="18" spans="1:7" x14ac:dyDescent="0.25">
      <c r="A18" s="1"/>
      <c r="B18" s="53" t="s">
        <v>209</v>
      </c>
      <c r="C18" s="12">
        <f>C17*(1+'Fane 13. Nøgletal'!C16)</f>
        <v>1224077.2571440001</v>
      </c>
      <c r="D18" s="13" t="s">
        <v>3</v>
      </c>
      <c r="E18" s="12">
        <f>E17*(1+'Fane 13. Nøgletal'!C16)</f>
        <v>1980464.091368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4"/>
      <c r="B49" s="44"/>
      <c r="C49" s="44"/>
      <c r="D49" s="44"/>
      <c r="E49" s="44"/>
      <c r="F49" s="44"/>
      <c r="G49" s="44"/>
    </row>
    <row r="50" spans="1:7" x14ac:dyDescent="0.25">
      <c r="A50" s="44"/>
      <c r="B50" s="44"/>
      <c r="C50" s="44"/>
      <c r="D50" s="44"/>
      <c r="E50" s="44"/>
      <c r="F50" s="44"/>
      <c r="G50" s="44"/>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Yc4wRhC6XavPcy4KgpNGtYVGnMM5HPwCrsXkdkpboL4F0KxliZNAO0YVOBPiS1P6ZHw3vPRzpoB1qI9OfoeEA==" saltValue="BvRnxTQIX4JCqX+9PnOXk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ht="26.25" x14ac:dyDescent="0.25">
      <c r="A11" s="1"/>
      <c r="B11" s="58" t="s">
        <v>258</v>
      </c>
      <c r="C11" s="21">
        <v>1393227.87</v>
      </c>
      <c r="D11" s="14" t="s">
        <v>3</v>
      </c>
      <c r="E11" s="9">
        <v>0</v>
      </c>
      <c r="F11" s="14" t="s">
        <v>3</v>
      </c>
      <c r="G11" s="1"/>
    </row>
    <row r="12" spans="1:7" x14ac:dyDescent="0.25">
      <c r="A12" s="1"/>
      <c r="B12" s="23" t="s">
        <v>261</v>
      </c>
      <c r="C12" s="21">
        <v>538438</v>
      </c>
      <c r="D12" s="14" t="s">
        <v>3</v>
      </c>
      <c r="E12" s="9">
        <v>0</v>
      </c>
      <c r="F12" s="14" t="s">
        <v>3</v>
      </c>
      <c r="G12" s="1"/>
    </row>
    <row r="13" spans="1:7" x14ac:dyDescent="0.25">
      <c r="A13" s="1"/>
      <c r="B13" s="23"/>
      <c r="C13" s="21"/>
      <c r="D13" s="14" t="s">
        <v>3</v>
      </c>
      <c r="E13" s="9"/>
      <c r="F13" s="14" t="s">
        <v>3</v>
      </c>
      <c r="G13" s="1"/>
    </row>
    <row r="14" spans="1:7" x14ac:dyDescent="0.25">
      <c r="A14" s="1"/>
      <c r="B14" s="53" t="s">
        <v>218</v>
      </c>
      <c r="C14" s="12">
        <f>SUM(C11:C13)</f>
        <v>1931665.87</v>
      </c>
      <c r="D14" s="13" t="s">
        <v>3</v>
      </c>
      <c r="E14" s="12">
        <f>SUM(E11:E13)</f>
        <v>0</v>
      </c>
      <c r="F14" s="13" t="s">
        <v>3</v>
      </c>
      <c r="G14" s="1"/>
    </row>
    <row r="15" spans="1:7" x14ac:dyDescent="0.25">
      <c r="A15" s="1"/>
      <c r="B15" s="53" t="s">
        <v>219</v>
      </c>
      <c r="C15" s="12">
        <f>C14*(1+'Fane 13. Nøgletal'!$C$16)^2</f>
        <v>2256434.2256575166</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4"/>
      <c r="B49" s="44"/>
      <c r="C49" s="44"/>
      <c r="D49" s="44"/>
      <c r="E49" s="44"/>
      <c r="F49" s="44"/>
      <c r="G49" s="44"/>
    </row>
  </sheetData>
  <sheetProtection algorithmName="SHA-512" hashValue="0foZ0Mn66AhXvfn8n8y14VXI27rslNVrNPL2DcvaCjJjq9/81Ce+7nN/DqNm4h8FetMCMuKxQQsEdlwE2F/bWw==" saltValue="Gu8EJwNzl66oknCba6fEU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5"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44"/>
      <c r="B48" s="44"/>
      <c r="C48" s="44"/>
      <c r="D48" s="44"/>
      <c r="E48" s="44"/>
      <c r="F48" s="44"/>
      <c r="G48" s="44"/>
    </row>
  </sheetData>
  <sheetProtection algorithmName="SHA-512" hashValue="bnIRNK+9EUys99n2MhWwFUbHmHaCbQZeWDMSG5GHu7/gPrH5O9O+zjGx5JenDy6iFpjLGbTvAJF/RbFzi10AKQ==" saltValue="9JaeoXpg65V35cOJg3LdL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1" t="s">
        <v>237</v>
      </c>
      <c r="C10" s="102"/>
      <c r="D10" s="102"/>
      <c r="E10" s="102"/>
      <c r="F10" s="103"/>
      <c r="G10" s="1"/>
    </row>
    <row r="11" spans="1:7" ht="26.25" x14ac:dyDescent="0.25">
      <c r="A11" s="1"/>
      <c r="B11" s="55" t="s">
        <v>16</v>
      </c>
      <c r="C11" s="55" t="s">
        <v>10</v>
      </c>
      <c r="D11" s="30"/>
      <c r="E11" s="55" t="s">
        <v>27</v>
      </c>
      <c r="F11" s="30"/>
      <c r="G11" s="1"/>
    </row>
    <row r="12" spans="1:7" x14ac:dyDescent="0.25">
      <c r="A12" s="1"/>
      <c r="B12" s="58" t="s">
        <v>242</v>
      </c>
      <c r="C12" s="9">
        <v>0</v>
      </c>
      <c r="D12" s="14" t="s">
        <v>3</v>
      </c>
      <c r="E12" s="9">
        <v>0</v>
      </c>
      <c r="F12" s="14" t="s">
        <v>3</v>
      </c>
      <c r="G12" s="1"/>
    </row>
    <row r="13" spans="1:7" x14ac:dyDescent="0.25">
      <c r="A13" s="1"/>
      <c r="B13" s="53" t="s">
        <v>78</v>
      </c>
      <c r="C13" s="12">
        <f>SUM(C12:C12)</f>
        <v>0</v>
      </c>
      <c r="D13" s="13" t="s">
        <v>3</v>
      </c>
      <c r="E13" s="12">
        <f>SUM(E12:E12)</f>
        <v>0</v>
      </c>
      <c r="F13" s="13" t="s">
        <v>3</v>
      </c>
      <c r="G13" s="1"/>
    </row>
    <row r="14" spans="1:7" x14ac:dyDescent="0.25">
      <c r="A14" s="1"/>
      <c r="B14" s="53"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3ArNvN2ekid1MUcT4IrzEm5qrzk+7ghMckvwrMgBc9idJ1OjaJaqOEhDlcfbq/VmIK9xF3PrrLew7rG2Kpkmw==" saltValue="Qzxipu4lrehcDK32DeF5W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3"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3"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3"/>
      <c r="C29" s="39"/>
      <c r="D29" s="1"/>
    </row>
    <row r="30" spans="1:4" x14ac:dyDescent="0.25">
      <c r="A30" s="1"/>
      <c r="B30" s="1"/>
      <c r="C30" s="38"/>
      <c r="D30" s="1"/>
    </row>
    <row r="31" spans="1:4" x14ac:dyDescent="0.25">
      <c r="A31" s="1"/>
      <c r="B31" s="1"/>
      <c r="C31" s="38"/>
      <c r="D31" s="1"/>
    </row>
    <row r="32" spans="1:4" x14ac:dyDescent="0.25">
      <c r="A32" s="1"/>
      <c r="B32" s="53" t="s">
        <v>82</v>
      </c>
      <c r="C32" s="39"/>
      <c r="D32" s="1"/>
    </row>
    <row r="33" spans="1:4" x14ac:dyDescent="0.25">
      <c r="A33" s="1"/>
      <c r="B33" s="68" t="s">
        <v>99</v>
      </c>
      <c r="C33" s="40">
        <v>0.02</v>
      </c>
      <c r="D33" s="1"/>
    </row>
    <row r="34" spans="1:4" x14ac:dyDescent="0.25">
      <c r="A34" s="1"/>
      <c r="B34" s="53"/>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GXHLlogLDOhQhbF+pFfZrll/V6sqdXTjSXED2TNYk4MlzmEk/mbejckcDlt3T1C1Bv83h9PA9fTd2rRt0+hfsQ==" saltValue="3BaCKMdCP8neCbbSEdrxk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3" t="s">
        <v>12</v>
      </c>
      <c r="C7" s="54"/>
      <c r="D7" s="19"/>
      <c r="E7" s="1"/>
    </row>
    <row r="8" spans="1:5" x14ac:dyDescent="0.25">
      <c r="A8" s="1"/>
      <c r="B8" s="56" t="s">
        <v>109</v>
      </c>
      <c r="C8" s="7">
        <f>'Fane 3. Omkostninger i ØR2023'!C19</f>
        <v>26187112.979002096</v>
      </c>
      <c r="D8" s="8" t="s">
        <v>3</v>
      </c>
      <c r="E8" s="1"/>
    </row>
    <row r="9" spans="1:5" ht="17.100000000000001" customHeight="1" x14ac:dyDescent="0.25">
      <c r="A9" s="1"/>
      <c r="B9" s="24" t="s">
        <v>33</v>
      </c>
      <c r="C9" s="7">
        <f>'Fane 10.1. Varige tillæg'!C18</f>
        <v>1224077.2571440001</v>
      </c>
      <c r="D9" s="8" t="s">
        <v>3</v>
      </c>
      <c r="E9" s="1"/>
    </row>
    <row r="10" spans="1:5" ht="17.100000000000001" customHeight="1" x14ac:dyDescent="0.25">
      <c r="A10" s="1"/>
      <c r="B10" s="24" t="s">
        <v>34</v>
      </c>
      <c r="C10" s="9">
        <f>'Fane 10.1. Varige tillæg'!E18</f>
        <v>1980464.091368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1191188.1630122443</v>
      </c>
      <c r="D15" s="8" t="s">
        <v>3</v>
      </c>
      <c r="E15" s="1"/>
    </row>
    <row r="16" spans="1:5" ht="17.100000000000001" customHeight="1" x14ac:dyDescent="0.25">
      <c r="A16" s="1"/>
      <c r="B16" s="24" t="s">
        <v>9</v>
      </c>
      <c r="C16" s="9">
        <f>-SUM(C8,C9:C15)*'Fane 5. Individuelt eff. krav'!G9</f>
        <v>-365427.73093888862</v>
      </c>
      <c r="D16" s="8" t="s">
        <v>3</v>
      </c>
      <c r="E16" s="1"/>
    </row>
    <row r="17" spans="1:5" ht="17.100000000000001" customHeight="1" x14ac:dyDescent="0.25">
      <c r="A17" s="1"/>
      <c r="B17" s="24" t="s">
        <v>22</v>
      </c>
      <c r="C17" s="9">
        <f>-'Fane 4.1. Gen. krav - drift'!G49</f>
        <v>-249343.85234240384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29968070.907245047</v>
      </c>
      <c r="D19" s="11" t="s">
        <v>3</v>
      </c>
      <c r="E19" s="1"/>
    </row>
    <row r="20" spans="1:5" ht="15" customHeight="1" x14ac:dyDescent="0.25">
      <c r="A20" s="1"/>
      <c r="B20" s="53" t="s">
        <v>11</v>
      </c>
      <c r="C20" s="54"/>
      <c r="D20" s="19"/>
      <c r="E20" s="1"/>
    </row>
    <row r="21" spans="1:5" ht="15" customHeight="1" x14ac:dyDescent="0.25">
      <c r="A21" s="1"/>
      <c r="B21" s="55" t="s">
        <v>11</v>
      </c>
      <c r="C21" s="10">
        <f>'Fane 6. Ikke-påvirkelige omk.'!C20</f>
        <v>22954002.2862304</v>
      </c>
      <c r="D21" s="11" t="s">
        <v>3</v>
      </c>
      <c r="E21" s="1"/>
    </row>
    <row r="22" spans="1:5" ht="15" customHeight="1" x14ac:dyDescent="0.25">
      <c r="A22" s="1"/>
      <c r="B22" s="53" t="s">
        <v>75</v>
      </c>
      <c r="C22" s="54"/>
      <c r="D22" s="19"/>
      <c r="E22" s="1"/>
    </row>
    <row r="23" spans="1:5" ht="15" customHeight="1" x14ac:dyDescent="0.25">
      <c r="A23" s="1"/>
      <c r="B23" s="24" t="s">
        <v>71</v>
      </c>
      <c r="C23" s="9">
        <f>'Fane 10.2. Engangstillæg'!C15</f>
        <v>2256434.2256575166</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-72090.326137871773</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49">
        <f>SUM(C23:C26)</f>
        <v>2184343.8995196447</v>
      </c>
      <c r="D27" s="11" t="s">
        <v>3</v>
      </c>
      <c r="E27" s="1"/>
    </row>
    <row r="28" spans="1:5" ht="15" customHeight="1" x14ac:dyDescent="0.25">
      <c r="A28" s="1"/>
      <c r="B28" s="26" t="s">
        <v>117</v>
      </c>
      <c r="C28" s="54"/>
      <c r="D28" s="19"/>
      <c r="E28" s="1"/>
    </row>
    <row r="29" spans="1:5" x14ac:dyDescent="0.25">
      <c r="A29" s="1"/>
      <c r="B29" s="72" t="s">
        <v>118</v>
      </c>
      <c r="C29" s="10">
        <f>'Fane 7. Kontrol af ØR2022'!E15</f>
        <v>0</v>
      </c>
      <c r="D29" s="11" t="s">
        <v>3</v>
      </c>
      <c r="E29" s="1"/>
    </row>
    <row r="30" spans="1:5" x14ac:dyDescent="0.25">
      <c r="A30" s="1"/>
      <c r="B30" s="26" t="s">
        <v>138</v>
      </c>
      <c r="C30" s="54"/>
      <c r="D30" s="19"/>
      <c r="E30" s="1"/>
    </row>
    <row r="31" spans="1:5" x14ac:dyDescent="0.25">
      <c r="A31" s="1"/>
      <c r="B31" s="72" t="s">
        <v>139</v>
      </c>
      <c r="C31" s="10">
        <f>'Fane 8. Skattesagen'!G13</f>
        <v>0</v>
      </c>
      <c r="D31" s="11" t="s">
        <v>3</v>
      </c>
      <c r="E31" s="1"/>
    </row>
    <row r="32" spans="1:5" x14ac:dyDescent="0.25">
      <c r="A32" s="1"/>
      <c r="B32" s="53" t="s">
        <v>126</v>
      </c>
      <c r="C32" s="33">
        <f>SUM(C19,C21,C27,C29,C31)</f>
        <v>55106417.092995092</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M+mikomoOqfINvuiwnPvNm0tzMGlnZfLKjUbTkS8DIHpBxaE5lgEmR1ezUSrjZk0lEWUt/BW9vY0a+SWotYpA==" saltValue="I87nLIfB3NLDKUVqWxa0p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3" t="s">
        <v>12</v>
      </c>
      <c r="C7" s="54"/>
      <c r="D7" s="19"/>
      <c r="E7" s="1"/>
    </row>
    <row r="8" spans="1:5" ht="15" customHeight="1" x14ac:dyDescent="0.25">
      <c r="A8" s="1"/>
      <c r="B8" s="56" t="s">
        <v>127</v>
      </c>
      <c r="C8" s="7">
        <f>'Fane 2.1. Økonomisk ramme 2024'!C19</f>
        <v>29968070.907245047</v>
      </c>
      <c r="D8" s="8" t="s">
        <v>3</v>
      </c>
      <c r="E8" s="1"/>
    </row>
    <row r="9" spans="1:5" ht="15" customHeight="1" x14ac:dyDescent="0.25">
      <c r="A9" s="1"/>
      <c r="B9" s="29" t="s">
        <v>17</v>
      </c>
      <c r="C9" s="9">
        <f>SUM(C8:C8)*'Fane 13. Nøgletal'!C16</f>
        <v>2421420.1293054</v>
      </c>
      <c r="D9" s="8" t="s">
        <v>3</v>
      </c>
      <c r="E9" s="1"/>
    </row>
    <row r="10" spans="1:5" ht="15" customHeight="1" x14ac:dyDescent="0.25">
      <c r="A10" s="1"/>
      <c r="B10" s="29" t="s">
        <v>9</v>
      </c>
      <c r="C10" s="9">
        <f>-SUM(C8:C9)*'Fane 5. Individuelt eff. krav'!G9</f>
        <v>-387014.98133859038</v>
      </c>
      <c r="D10" s="8" t="s">
        <v>3</v>
      </c>
      <c r="E10" s="1"/>
    </row>
    <row r="11" spans="1:5" ht="15" customHeight="1" x14ac:dyDescent="0.25">
      <c r="A11" s="1"/>
      <c r="B11" s="29" t="s">
        <v>22</v>
      </c>
      <c r="C11" s="9">
        <f>-'Fane 4.1. Gen. krav - drift'!G54</f>
        <v>-264101.01889943669</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31738375.03631242</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f>
        <v>24808685.670957815</v>
      </c>
      <c r="D15" s="11" t="s">
        <v>3</v>
      </c>
      <c r="E15" s="1"/>
    </row>
    <row r="16" spans="1:5" x14ac:dyDescent="0.25">
      <c r="A16" s="1"/>
      <c r="B16" s="26" t="s">
        <v>117</v>
      </c>
      <c r="C16" s="54"/>
      <c r="D16" s="19"/>
      <c r="E16" s="1"/>
    </row>
    <row r="17" spans="1:5" ht="15" customHeight="1" x14ac:dyDescent="0.25">
      <c r="A17" s="1"/>
      <c r="B17" s="72" t="s">
        <v>118</v>
      </c>
      <c r="C17" s="10">
        <f>'Fane 7. Kontrol af ØR2022'!E33</f>
        <v>0</v>
      </c>
      <c r="D17" s="11" t="s">
        <v>3</v>
      </c>
      <c r="E17" s="1"/>
    </row>
    <row r="18" spans="1:5" x14ac:dyDescent="0.25">
      <c r="A18" s="1"/>
      <c r="B18" s="26" t="s">
        <v>138</v>
      </c>
      <c r="C18" s="54"/>
      <c r="D18" s="19"/>
      <c r="E18" s="1"/>
    </row>
    <row r="19" spans="1:5" x14ac:dyDescent="0.25">
      <c r="A19" s="1"/>
      <c r="B19" s="72" t="s">
        <v>139</v>
      </c>
      <c r="C19" s="10">
        <f>'Fane 8. Skattesagen'!G13</f>
        <v>0</v>
      </c>
      <c r="D19" s="11" t="s">
        <v>3</v>
      </c>
      <c r="E19" s="1"/>
    </row>
    <row r="20" spans="1:5" x14ac:dyDescent="0.25">
      <c r="A20" s="1"/>
      <c r="B20" s="53" t="s">
        <v>128</v>
      </c>
      <c r="C20" s="12">
        <f>SUM(C13,C15,C17,C19)</f>
        <v>56547060.707270235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d1J8fShd3Cerxt8bzY/N20zJPfFv+lQIXf7P6Bg+iXN0vfM01DqbC7QUP10e3WMoC9CGcCO4YzKU9RqkcUxhA==" saltValue="eC279tULrvwixkdvF/RiJ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3" t="s">
        <v>12</v>
      </c>
      <c r="C7" s="54"/>
      <c r="D7" s="19"/>
      <c r="E7" s="1"/>
    </row>
    <row r="8" spans="1:5" ht="15" customHeight="1" x14ac:dyDescent="0.25">
      <c r="A8" s="1"/>
      <c r="B8" s="56" t="s">
        <v>142</v>
      </c>
      <c r="C8" s="7">
        <f>'Fane 2.2. Økonomisk ramme 2025'!C13</f>
        <v>31738375.03631242</v>
      </c>
      <c r="D8" s="8" t="s">
        <v>3</v>
      </c>
      <c r="E8" s="1"/>
    </row>
    <row r="9" spans="1:5" ht="15" customHeight="1" x14ac:dyDescent="0.25">
      <c r="A9" s="1"/>
      <c r="B9" s="29" t="s">
        <v>17</v>
      </c>
      <c r="C9" s="9">
        <f>SUM(C8:C8)*'Fane 13. Nøgletal'!C16</f>
        <v>2564460.7029340435</v>
      </c>
      <c r="D9" s="8" t="s">
        <v>3</v>
      </c>
      <c r="E9" s="1"/>
    </row>
    <row r="10" spans="1:5" ht="15" customHeight="1" x14ac:dyDescent="0.25">
      <c r="A10" s="1"/>
      <c r="B10" s="29" t="s">
        <v>9</v>
      </c>
      <c r="C10" s="9">
        <f>-SUM(C8:C9)*'Fane 5. Individuelt eff. krav'!G9</f>
        <v>-409877.12090023304</v>
      </c>
      <c r="D10" s="8" t="s">
        <v>3</v>
      </c>
      <c r="E10" s="1"/>
    </row>
    <row r="11" spans="1:5" ht="15" customHeight="1" x14ac:dyDescent="0.25">
      <c r="A11" s="1"/>
      <c r="B11" s="29" t="s">
        <v>22</v>
      </c>
      <c r="C11" s="9">
        <f>-'Fane 4.1. Gen. krav - drift'!G59</f>
        <v>-279731.57360198093</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33613227.044744246</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Nøgletal'!C16)^2</f>
        <v>26813227.473171208</v>
      </c>
      <c r="D15" s="11" t="s">
        <v>3</v>
      </c>
      <c r="E15" s="1"/>
    </row>
    <row r="16" spans="1:5" x14ac:dyDescent="0.25">
      <c r="A16" s="1"/>
      <c r="B16" s="53" t="s">
        <v>117</v>
      </c>
      <c r="C16" s="54"/>
      <c r="D16" s="19"/>
      <c r="E16" s="1"/>
    </row>
    <row r="17" spans="1:5" x14ac:dyDescent="0.25">
      <c r="A17" s="1"/>
      <c r="B17" s="55" t="s">
        <v>118</v>
      </c>
      <c r="C17" s="10">
        <f>'Fane 7. Kontrol af ØR2022'!E33</f>
        <v>0</v>
      </c>
      <c r="D17" s="11" t="s">
        <v>3</v>
      </c>
      <c r="E17" s="1"/>
    </row>
    <row r="18" spans="1:5" ht="15" customHeight="1" x14ac:dyDescent="0.25">
      <c r="A18" s="1"/>
      <c r="B18" s="26" t="s">
        <v>138</v>
      </c>
      <c r="C18" s="54"/>
      <c r="D18" s="19"/>
      <c r="E18" s="1"/>
    </row>
    <row r="19" spans="1:5" ht="15" customHeight="1" x14ac:dyDescent="0.25">
      <c r="A19" s="1"/>
      <c r="B19" s="72" t="s">
        <v>139</v>
      </c>
      <c r="C19" s="10">
        <f>'Fane 8. Skattesagen'!G14</f>
        <v>0</v>
      </c>
      <c r="D19" s="11" t="s">
        <v>3</v>
      </c>
      <c r="E19" s="1"/>
    </row>
    <row r="20" spans="1:5" x14ac:dyDescent="0.25">
      <c r="A20" s="1"/>
      <c r="B20" s="53" t="s">
        <v>143</v>
      </c>
      <c r="C20" s="12">
        <f>SUM(C13,C15,C17,C19)</f>
        <v>60426454.517915457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7sr/EOLG1Wyvyd2C4jvIE+TjD4Z9qLRIA4HcR4EnmiQJl+pWzZpTvTZnHilZvTuxerBwDvk2nhuUmVWmS31/A==" saltValue="18YiGDt2ZMU9D05+KkuE7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3" t="s">
        <v>12</v>
      </c>
      <c r="C7" s="54"/>
      <c r="D7" s="19"/>
      <c r="E7" s="1"/>
    </row>
    <row r="8" spans="1:5" ht="15" customHeight="1" x14ac:dyDescent="0.25">
      <c r="A8" s="1"/>
      <c r="B8" s="56" t="s">
        <v>203</v>
      </c>
      <c r="C8" s="7">
        <f>'Fane 2.3. Økonomisk ramme 2026'!C13</f>
        <v>33613227.044744246</v>
      </c>
      <c r="D8" s="8" t="s">
        <v>3</v>
      </c>
      <c r="E8" s="1"/>
    </row>
    <row r="9" spans="1:5" ht="15" customHeight="1" x14ac:dyDescent="0.25">
      <c r="A9" s="1"/>
      <c r="B9" s="29" t="s">
        <v>17</v>
      </c>
      <c r="C9" s="9">
        <f>SUM(C8:C8)*'Fane 13. Nøgletal'!C16</f>
        <v>2715948.7452153349</v>
      </c>
      <c r="D9" s="8" t="s">
        <v>3</v>
      </c>
      <c r="E9" s="1"/>
    </row>
    <row r="10" spans="1:5" ht="15" customHeight="1" x14ac:dyDescent="0.25">
      <c r="A10" s="1"/>
      <c r="B10" s="29" t="s">
        <v>9</v>
      </c>
      <c r="C10" s="9">
        <f>-SUM(C8:C9)*'Fane 5. Individuelt eff. krav'!G9</f>
        <v>-434089.41729067045</v>
      </c>
      <c r="D10" s="8" t="s">
        <v>3</v>
      </c>
      <c r="E10" s="1"/>
    </row>
    <row r="11" spans="1:5" ht="15" customHeight="1" x14ac:dyDescent="0.25">
      <c r="A11" s="1"/>
      <c r="B11" s="29" t="s">
        <v>22</v>
      </c>
      <c r="C11" s="9">
        <f>-'Fane 4.1. Gen. krav - drift'!G64</f>
        <v>-296287.20705404057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35598799.165614866</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Nøgletal'!C16)^3</f>
        <v>28979736.253003441</v>
      </c>
      <c r="D15" s="11" t="s">
        <v>3</v>
      </c>
      <c r="E15" s="1"/>
    </row>
    <row r="16" spans="1:5" x14ac:dyDescent="0.25">
      <c r="A16" s="1"/>
      <c r="B16" s="53" t="s">
        <v>117</v>
      </c>
      <c r="C16" s="54"/>
      <c r="D16" s="19"/>
      <c r="E16" s="1"/>
    </row>
    <row r="17" spans="1:5" x14ac:dyDescent="0.25">
      <c r="A17" s="1"/>
      <c r="B17" s="55" t="s">
        <v>118</v>
      </c>
      <c r="C17" s="10">
        <v>0</v>
      </c>
      <c r="D17" s="11" t="s">
        <v>3</v>
      </c>
      <c r="E17" s="1"/>
    </row>
    <row r="18" spans="1:5" x14ac:dyDescent="0.25">
      <c r="A18" s="1"/>
      <c r="B18" s="26" t="s">
        <v>138</v>
      </c>
      <c r="C18" s="54"/>
      <c r="D18" s="19"/>
      <c r="E18" s="1"/>
    </row>
    <row r="19" spans="1:5" x14ac:dyDescent="0.25">
      <c r="A19" s="1"/>
      <c r="B19" s="72" t="s">
        <v>139</v>
      </c>
      <c r="C19" s="10">
        <f>'Fane 8. Skattesagen'!G15</f>
        <v>0</v>
      </c>
      <c r="D19" s="11" t="s">
        <v>3</v>
      </c>
      <c r="E19" s="1"/>
    </row>
    <row r="20" spans="1:5" x14ac:dyDescent="0.25">
      <c r="A20" s="1"/>
      <c r="B20" s="53" t="s">
        <v>205</v>
      </c>
      <c r="C20" s="12">
        <f>SUM(C13,C15,C17,C19)</f>
        <v>64578535.418618307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C68EMBXC3TluUg0ENy7Ngwcgj4L4Ac9JRcqbGslRzJ1ulfu1GpOdlsMBSl/jTZiPsD0QIXBmjIb+zuAUdYEyw==" saltValue="ajd91P0HTaT3SAANVqrx3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3" t="s">
        <v>202</v>
      </c>
      <c r="C7" s="54"/>
      <c r="D7" s="19"/>
      <c r="E7" s="1"/>
    </row>
    <row r="8" spans="1:5" x14ac:dyDescent="0.25">
      <c r="A8" s="1"/>
      <c r="B8" s="56" t="s">
        <v>108</v>
      </c>
      <c r="C8" s="7">
        <v>25420151.864095613</v>
      </c>
      <c r="D8" s="8" t="s">
        <v>3</v>
      </c>
      <c r="E8" s="1"/>
    </row>
    <row r="9" spans="1:5" x14ac:dyDescent="0.25">
      <c r="A9" s="1"/>
      <c r="B9" s="24" t="s">
        <v>33</v>
      </c>
      <c r="C9" s="7">
        <v>341470.45920000004</v>
      </c>
      <c r="D9" s="8" t="s">
        <v>3</v>
      </c>
      <c r="E9" s="1"/>
    </row>
    <row r="10" spans="1:5" x14ac:dyDescent="0.25">
      <c r="A10" s="1"/>
      <c r="B10" s="24" t="s">
        <v>34</v>
      </c>
      <c r="C10" s="9">
        <v>45708.277200000004</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918740.96937764378</v>
      </c>
      <c r="D15" s="8" t="s">
        <v>3</v>
      </c>
      <c r="E15" s="1"/>
    </row>
    <row r="16" spans="1:5" x14ac:dyDescent="0.25">
      <c r="A16" s="1"/>
      <c r="B16" s="24" t="s">
        <v>9</v>
      </c>
      <c r="C16" s="9">
        <v>-319344.01433465449</v>
      </c>
      <c r="D16" s="8" t="s">
        <v>3</v>
      </c>
      <c r="E16" s="1"/>
    </row>
    <row r="17" spans="1:5" x14ac:dyDescent="0.25">
      <c r="A17" s="1"/>
      <c r="B17" s="24" t="s">
        <v>22</v>
      </c>
      <c r="C17" s="9">
        <v>-219614.57653650371</v>
      </c>
      <c r="D17" s="8" t="s">
        <v>3</v>
      </c>
      <c r="E17" s="1"/>
    </row>
    <row r="18" spans="1:5" x14ac:dyDescent="0.25">
      <c r="A18" s="1"/>
      <c r="B18" s="24" t="s">
        <v>23</v>
      </c>
      <c r="C18" s="9">
        <v>0</v>
      </c>
      <c r="D18" s="8" t="s">
        <v>3</v>
      </c>
      <c r="E18" s="1"/>
    </row>
    <row r="19" spans="1:5" x14ac:dyDescent="0.25">
      <c r="A19" s="1"/>
      <c r="B19" s="73" t="s">
        <v>19</v>
      </c>
      <c r="C19" s="10">
        <v>26187112.979002096</v>
      </c>
      <c r="D19" s="11" t="s">
        <v>3</v>
      </c>
      <c r="E19" s="1"/>
    </row>
    <row r="20" spans="1:5" x14ac:dyDescent="0.25">
      <c r="A20" s="1"/>
      <c r="B20" s="53" t="s">
        <v>11</v>
      </c>
      <c r="C20" s="54"/>
      <c r="D20" s="19"/>
      <c r="E20" s="1"/>
    </row>
    <row r="21" spans="1:5" x14ac:dyDescent="0.25">
      <c r="A21" s="1"/>
      <c r="B21" s="55" t="s">
        <v>11</v>
      </c>
      <c r="C21" s="10">
        <v>23029017.935908578</v>
      </c>
      <c r="D21" s="11" t="s">
        <v>3</v>
      </c>
      <c r="E21" s="1"/>
    </row>
    <row r="22" spans="1:5" x14ac:dyDescent="0.25">
      <c r="A22" s="1"/>
      <c r="B22" s="53" t="s">
        <v>75</v>
      </c>
      <c r="C22" s="54"/>
      <c r="D22" s="19"/>
      <c r="E22" s="1"/>
    </row>
    <row r="23" spans="1:5" x14ac:dyDescent="0.25">
      <c r="A23" s="1"/>
      <c r="B23" s="24" t="s">
        <v>71</v>
      </c>
      <c r="C23" s="9">
        <v>531851.57836704003</v>
      </c>
      <c r="D23" s="8" t="s">
        <v>3</v>
      </c>
      <c r="E23" s="1"/>
    </row>
    <row r="24" spans="1:5" x14ac:dyDescent="0.25">
      <c r="A24" s="1"/>
      <c r="B24" s="24" t="s">
        <v>72</v>
      </c>
      <c r="C24" s="9">
        <v>0</v>
      </c>
      <c r="D24" s="8" t="s">
        <v>3</v>
      </c>
      <c r="E24" s="1"/>
    </row>
    <row r="25" spans="1:5" x14ac:dyDescent="0.25">
      <c r="A25" s="1"/>
      <c r="B25" s="24" t="s">
        <v>164</v>
      </c>
      <c r="C25" s="9">
        <v>-16992.010361059496</v>
      </c>
      <c r="D25" s="8" t="s">
        <v>3</v>
      </c>
      <c r="E25" s="1"/>
    </row>
    <row r="26" spans="1:5" x14ac:dyDescent="0.25">
      <c r="A26" s="1"/>
      <c r="B26" s="24" t="s">
        <v>165</v>
      </c>
      <c r="C26" s="9">
        <v>0</v>
      </c>
      <c r="D26" s="8" t="s">
        <v>3</v>
      </c>
      <c r="E26" s="1"/>
    </row>
    <row r="27" spans="1:5" x14ac:dyDescent="0.25">
      <c r="A27" s="1"/>
      <c r="B27" s="73" t="s">
        <v>76</v>
      </c>
      <c r="C27" s="49">
        <v>514859.56800598052</v>
      </c>
      <c r="D27" s="11" t="s">
        <v>3</v>
      </c>
      <c r="E27" s="1"/>
    </row>
    <row r="28" spans="1:5" x14ac:dyDescent="0.25">
      <c r="A28" s="1"/>
      <c r="B28" s="26" t="s">
        <v>117</v>
      </c>
      <c r="C28" s="54"/>
      <c r="D28" s="19"/>
      <c r="E28" s="1"/>
    </row>
    <row r="29" spans="1:5" x14ac:dyDescent="0.25">
      <c r="A29" s="1"/>
      <c r="B29" s="72" t="s">
        <v>118</v>
      </c>
      <c r="C29" s="10">
        <v>0</v>
      </c>
      <c r="D29" s="11" t="s">
        <v>3</v>
      </c>
      <c r="E29" s="1"/>
    </row>
    <row r="30" spans="1:5" x14ac:dyDescent="0.25">
      <c r="A30" s="1"/>
      <c r="B30" s="26" t="s">
        <v>138</v>
      </c>
      <c r="C30" s="54"/>
      <c r="D30" s="19"/>
      <c r="E30" s="1"/>
    </row>
    <row r="31" spans="1:5" x14ac:dyDescent="0.25">
      <c r="A31" s="1"/>
      <c r="B31" s="72" t="s">
        <v>139</v>
      </c>
      <c r="C31" s="10">
        <v>0</v>
      </c>
      <c r="D31" s="11" t="s">
        <v>3</v>
      </c>
      <c r="E31" s="1"/>
    </row>
    <row r="32" spans="1:5" x14ac:dyDescent="0.25">
      <c r="A32" s="1"/>
      <c r="B32" s="53" t="s">
        <v>239</v>
      </c>
      <c r="C32" s="33">
        <v>49730990.482916653</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08oASL0NwXaeT7gIQEc5JGd/8aLM8nr05UfEfooKMY2Jf0Gw6R1v0Jkt24a4wNG/vfEOyfd8DFCmWb4tBm7OSA==" saltValue="C336tPPa2E3Z2FsY+nOfX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10443057.58097716</v>
      </c>
      <c r="H5" s="14" t="s">
        <v>3</v>
      </c>
      <c r="I5" s="1"/>
    </row>
    <row r="6" spans="1:9" x14ac:dyDescent="0.25">
      <c r="A6" s="1"/>
      <c r="B6" s="104" t="s">
        <v>37</v>
      </c>
      <c r="C6" s="105"/>
      <c r="D6" s="105"/>
      <c r="E6" s="105"/>
      <c r="F6" s="106"/>
      <c r="G6" s="22">
        <f>G5*'Fane 13. Nøgletal'!C33</f>
        <v>208861.15161954321</v>
      </c>
      <c r="H6" s="14" t="s">
        <v>3</v>
      </c>
      <c r="I6" s="1"/>
    </row>
    <row r="7" spans="1:9" x14ac:dyDescent="0.25">
      <c r="A7" s="1"/>
      <c r="B7" s="53"/>
      <c r="C7" s="54"/>
      <c r="D7" s="54"/>
      <c r="E7" s="54"/>
      <c r="F7" s="54"/>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f>(G5-G6)*(1+'Fane 13. Nøgletal'!C9)</f>
        <v>10364170.72401046</v>
      </c>
      <c r="H10" s="14" t="s">
        <v>3</v>
      </c>
      <c r="I10" s="1"/>
    </row>
    <row r="11" spans="1:9" x14ac:dyDescent="0.25">
      <c r="A11" s="1"/>
      <c r="B11" s="107" t="s">
        <v>228</v>
      </c>
      <c r="C11" s="108"/>
      <c r="D11" s="108"/>
      <c r="E11" s="108"/>
      <c r="F11" s="109"/>
      <c r="G11" s="47">
        <v>159246.66615</v>
      </c>
      <c r="H11" s="14" t="s">
        <v>3</v>
      </c>
      <c r="I11" s="1"/>
    </row>
    <row r="12" spans="1:9" x14ac:dyDescent="0.25">
      <c r="A12" s="1"/>
      <c r="B12" s="104" t="s">
        <v>39</v>
      </c>
      <c r="C12" s="105"/>
      <c r="D12" s="105"/>
      <c r="E12" s="105"/>
      <c r="F12" s="106"/>
      <c r="G12" s="22">
        <f>(G10+G11)*'Fane 13. Nøgletal'!C33</f>
        <v>210468.34780320921</v>
      </c>
      <c r="H12" s="14" t="s">
        <v>3</v>
      </c>
      <c r="I12" s="1"/>
    </row>
    <row r="13" spans="1:9" x14ac:dyDescent="0.25">
      <c r="A13" s="1"/>
      <c r="B13" s="53"/>
      <c r="C13" s="54"/>
      <c r="D13" s="54"/>
      <c r="E13" s="54"/>
      <c r="F13" s="54"/>
      <c r="G13" s="35"/>
      <c r="H13" s="19"/>
      <c r="I13" s="1"/>
    </row>
    <row r="14" spans="1:9" x14ac:dyDescent="0.25">
      <c r="A14" s="1"/>
      <c r="B14" s="1"/>
      <c r="C14" s="1"/>
      <c r="D14" s="1"/>
      <c r="E14" s="1"/>
      <c r="F14" s="1"/>
      <c r="G14" s="36"/>
      <c r="H14" s="1"/>
      <c r="I14" s="1"/>
    </row>
    <row r="15" spans="1:9" x14ac:dyDescent="0.25">
      <c r="A15" s="1"/>
      <c r="B15" s="101" t="s">
        <v>46</v>
      </c>
      <c r="C15" s="102"/>
      <c r="D15" s="102"/>
      <c r="E15" s="102"/>
      <c r="F15" s="102"/>
      <c r="G15" s="102"/>
      <c r="H15" s="103"/>
      <c r="I15" s="1"/>
    </row>
    <row r="16" spans="1:9" x14ac:dyDescent="0.25">
      <c r="A16" s="1"/>
      <c r="B16" s="104" t="s">
        <v>40</v>
      </c>
      <c r="C16" s="105"/>
      <c r="D16" s="105"/>
      <c r="E16" s="105"/>
      <c r="F16" s="106"/>
      <c r="G16" s="22">
        <f>(G10+G11-G12)*(1+'Fane 13. Nøgletal'!C11)</f>
        <v>10487237.881173087</v>
      </c>
      <c r="H16" s="14" t="s">
        <v>3</v>
      </c>
      <c r="I16" s="1"/>
    </row>
    <row r="17" spans="1:9" x14ac:dyDescent="0.25">
      <c r="A17" s="1"/>
      <c r="B17" s="104" t="s">
        <v>100</v>
      </c>
      <c r="C17" s="105"/>
      <c r="D17" s="105"/>
      <c r="E17" s="105"/>
      <c r="F17" s="106"/>
      <c r="G17" s="47">
        <v>0</v>
      </c>
      <c r="H17" s="14" t="s">
        <v>3</v>
      </c>
      <c r="I17" s="1"/>
    </row>
    <row r="18" spans="1:9" x14ac:dyDescent="0.25">
      <c r="A18" s="1"/>
      <c r="B18" s="107" t="s">
        <v>229</v>
      </c>
      <c r="C18" s="108"/>
      <c r="D18" s="108"/>
      <c r="E18" s="108"/>
      <c r="F18" s="109"/>
      <c r="G18" s="47">
        <v>0</v>
      </c>
      <c r="H18" s="14" t="s">
        <v>3</v>
      </c>
      <c r="I18" s="1"/>
    </row>
    <row r="19" spans="1:9" x14ac:dyDescent="0.25">
      <c r="A19" s="1"/>
      <c r="B19" s="104" t="s">
        <v>41</v>
      </c>
      <c r="C19" s="105"/>
      <c r="D19" s="105"/>
      <c r="E19" s="105"/>
      <c r="F19" s="106"/>
      <c r="G19" s="22">
        <f>SUM(G16:G18)*'Fane 13. Nøgletal'!C33</f>
        <v>209744.75762346174</v>
      </c>
      <c r="H19" s="14" t="s">
        <v>3</v>
      </c>
      <c r="I19" s="1"/>
    </row>
    <row r="20" spans="1:9" x14ac:dyDescent="0.25">
      <c r="A20" s="1"/>
      <c r="B20" s="53"/>
      <c r="C20" s="54"/>
      <c r="D20" s="54"/>
      <c r="E20" s="54"/>
      <c r="F20" s="54"/>
      <c r="G20" s="35"/>
      <c r="H20" s="19"/>
      <c r="I20" s="1"/>
    </row>
    <row r="21" spans="1:9" x14ac:dyDescent="0.25">
      <c r="A21" s="1"/>
      <c r="B21" s="1"/>
      <c r="C21" s="1"/>
      <c r="D21" s="1"/>
      <c r="E21" s="1"/>
      <c r="F21" s="1"/>
      <c r="G21" s="36"/>
      <c r="H21" s="1"/>
      <c r="I21" s="1"/>
    </row>
    <row r="22" spans="1:9" x14ac:dyDescent="0.25">
      <c r="A22" s="1"/>
      <c r="B22" s="101" t="s">
        <v>47</v>
      </c>
      <c r="C22" s="102"/>
      <c r="D22" s="102"/>
      <c r="E22" s="102"/>
      <c r="F22" s="102"/>
      <c r="G22" s="102"/>
      <c r="H22" s="103"/>
      <c r="I22" s="1"/>
    </row>
    <row r="23" spans="1:9" x14ac:dyDescent="0.25">
      <c r="A23" s="1"/>
      <c r="B23" s="104" t="s">
        <v>42</v>
      </c>
      <c r="C23" s="105"/>
      <c r="D23" s="105"/>
      <c r="E23" s="105"/>
      <c r="F23" s="106"/>
      <c r="G23" s="22">
        <f>(SUM(G16:G18)-G19)*(1+'Fane 13. Nøgletal'!C11)</f>
        <v>10451182.757337613</v>
      </c>
      <c r="H23" s="14" t="s">
        <v>3</v>
      </c>
      <c r="I23" s="1"/>
    </row>
    <row r="24" spans="1:9" x14ac:dyDescent="0.25">
      <c r="A24" s="1"/>
      <c r="B24" s="107" t="s">
        <v>230</v>
      </c>
      <c r="C24" s="108"/>
      <c r="D24" s="108"/>
      <c r="E24" s="108"/>
      <c r="F24" s="109"/>
      <c r="G24" s="47">
        <v>0</v>
      </c>
      <c r="H24" s="14" t="s">
        <v>3</v>
      </c>
      <c r="I24" s="1"/>
    </row>
    <row r="25" spans="1:9" x14ac:dyDescent="0.25">
      <c r="A25" s="1"/>
      <c r="B25" s="104" t="s">
        <v>43</v>
      </c>
      <c r="C25" s="105"/>
      <c r="D25" s="105"/>
      <c r="E25" s="105"/>
      <c r="F25" s="106"/>
      <c r="G25" s="22">
        <f>(G23+G24)*'Fane 13. Nøgletal'!C33</f>
        <v>209023.65514675225</v>
      </c>
      <c r="H25" s="14" t="s">
        <v>3</v>
      </c>
      <c r="I25" s="1"/>
    </row>
    <row r="26" spans="1:9" x14ac:dyDescent="0.25">
      <c r="A26" s="1"/>
      <c r="B26" s="53"/>
      <c r="C26" s="54"/>
      <c r="D26" s="54"/>
      <c r="E26" s="54"/>
      <c r="F26" s="54"/>
      <c r="G26" s="35"/>
      <c r="H26" s="19"/>
      <c r="I26" s="1"/>
    </row>
    <row r="27" spans="1:9" x14ac:dyDescent="0.25">
      <c r="A27" s="1"/>
      <c r="B27" s="1"/>
      <c r="C27" s="1"/>
      <c r="D27" s="1"/>
      <c r="E27" s="1"/>
      <c r="F27" s="1"/>
      <c r="G27" s="36"/>
      <c r="H27" s="1"/>
      <c r="I27" s="1"/>
    </row>
    <row r="28" spans="1:9" x14ac:dyDescent="0.25">
      <c r="A28" s="1"/>
      <c r="B28" s="101" t="s">
        <v>121</v>
      </c>
      <c r="C28" s="102"/>
      <c r="D28" s="102"/>
      <c r="E28" s="102"/>
      <c r="F28" s="102"/>
      <c r="G28" s="102"/>
      <c r="H28" s="103"/>
      <c r="I28" s="1"/>
    </row>
    <row r="29" spans="1:9" x14ac:dyDescent="0.25">
      <c r="A29" s="1"/>
      <c r="B29" s="104" t="s">
        <v>50</v>
      </c>
      <c r="C29" s="105"/>
      <c r="D29" s="105"/>
      <c r="E29" s="105"/>
      <c r="F29" s="106"/>
      <c r="G29" s="22">
        <f>(G23+G24-G25)*(1+'Fane 13. Nøgletal'!C13)</f>
        <v>10367113.44323759</v>
      </c>
      <c r="H29" s="14" t="s">
        <v>3</v>
      </c>
      <c r="I29" s="1"/>
    </row>
    <row r="30" spans="1:9" x14ac:dyDescent="0.25">
      <c r="A30" s="1"/>
      <c r="B30" s="104" t="s">
        <v>231</v>
      </c>
      <c r="C30" s="105"/>
      <c r="D30" s="105"/>
      <c r="E30" s="105"/>
      <c r="F30" s="106"/>
      <c r="G30" s="47">
        <v>0</v>
      </c>
      <c r="H30" s="14" t="s">
        <v>3</v>
      </c>
      <c r="I30" s="1"/>
    </row>
    <row r="31" spans="1:9" x14ac:dyDescent="0.25">
      <c r="A31" s="1"/>
      <c r="B31" s="104" t="s">
        <v>115</v>
      </c>
      <c r="C31" s="105"/>
      <c r="D31" s="105"/>
      <c r="E31" s="105"/>
      <c r="F31" s="106"/>
      <c r="G31" s="22">
        <f>(G29+G30)*'Fane 13. Nøgletal'!C33</f>
        <v>207342.26886475179</v>
      </c>
      <c r="H31" s="14" t="s">
        <v>3</v>
      </c>
      <c r="I31" s="1"/>
    </row>
    <row r="32" spans="1:9" x14ac:dyDescent="0.25">
      <c r="A32" s="1"/>
      <c r="B32" s="53"/>
      <c r="C32" s="54"/>
      <c r="D32" s="54"/>
      <c r="E32" s="54"/>
      <c r="F32" s="54"/>
      <c r="G32" s="35"/>
      <c r="H32" s="19"/>
      <c r="I32" s="1"/>
    </row>
    <row r="33" spans="1:9" x14ac:dyDescent="0.25">
      <c r="A33" s="1"/>
      <c r="B33" s="1"/>
      <c r="C33" s="1"/>
      <c r="D33" s="1"/>
      <c r="E33" s="1"/>
      <c r="F33" s="1"/>
      <c r="G33" s="36"/>
      <c r="H33" s="1"/>
      <c r="I33" s="1"/>
    </row>
    <row r="34" spans="1:9" x14ac:dyDescent="0.25">
      <c r="A34" s="1"/>
      <c r="B34" s="101" t="s">
        <v>122</v>
      </c>
      <c r="C34" s="102"/>
      <c r="D34" s="102"/>
      <c r="E34" s="102"/>
      <c r="F34" s="102"/>
      <c r="G34" s="102"/>
      <c r="H34" s="103"/>
      <c r="I34" s="1"/>
    </row>
    <row r="35" spans="1:9" x14ac:dyDescent="0.25">
      <c r="A35" s="1"/>
      <c r="B35" s="104" t="s">
        <v>69</v>
      </c>
      <c r="C35" s="105"/>
      <c r="D35" s="105"/>
      <c r="E35" s="105"/>
      <c r="F35" s="106"/>
      <c r="G35" s="22">
        <f>(G29+G30-G31)*(1+'Fane 13. Nøgletal'!C13)</f>
        <v>10283720.382700186</v>
      </c>
      <c r="H35" s="14" t="s">
        <v>3</v>
      </c>
      <c r="I35" s="1"/>
    </row>
    <row r="36" spans="1:9" x14ac:dyDescent="0.25">
      <c r="A36" s="1"/>
      <c r="B36" s="104" t="s">
        <v>232</v>
      </c>
      <c r="C36" s="105"/>
      <c r="D36" s="105"/>
      <c r="E36" s="105"/>
      <c r="F36" s="106"/>
      <c r="G36" s="47">
        <v>187486.31131695004</v>
      </c>
      <c r="H36" s="14" t="s">
        <v>3</v>
      </c>
      <c r="I36" s="1"/>
    </row>
    <row r="37" spans="1:9" x14ac:dyDescent="0.25">
      <c r="A37" s="1"/>
      <c r="B37" s="104" t="s">
        <v>123</v>
      </c>
      <c r="C37" s="105"/>
      <c r="D37" s="105"/>
      <c r="E37" s="105"/>
      <c r="F37" s="106"/>
      <c r="G37" s="22">
        <f>(G35+G36)*'Fane 13. Nøgletal'!C33</f>
        <v>209424.13388034274</v>
      </c>
      <c r="H37" s="14" t="s">
        <v>3</v>
      </c>
      <c r="I37" s="1"/>
    </row>
    <row r="38" spans="1:9" x14ac:dyDescent="0.25">
      <c r="A38" s="1"/>
      <c r="B38" s="53"/>
      <c r="C38" s="54"/>
      <c r="D38" s="54"/>
      <c r="E38" s="54"/>
      <c r="F38" s="54"/>
      <c r="G38" s="35"/>
      <c r="H38" s="19"/>
      <c r="I38" s="1"/>
    </row>
    <row r="39" spans="1:9" x14ac:dyDescent="0.25">
      <c r="A39" s="1"/>
      <c r="B39" s="1"/>
      <c r="C39" s="1"/>
      <c r="D39" s="1"/>
      <c r="E39" s="1"/>
      <c r="F39" s="1"/>
      <c r="G39" s="36"/>
      <c r="H39" s="1"/>
      <c r="I39" s="1"/>
    </row>
    <row r="40" spans="1:9" x14ac:dyDescent="0.25">
      <c r="A40" s="1"/>
      <c r="B40" s="101" t="s">
        <v>157</v>
      </c>
      <c r="C40" s="102"/>
      <c r="D40" s="102"/>
      <c r="E40" s="102"/>
      <c r="F40" s="102"/>
      <c r="G40" s="102"/>
      <c r="H40" s="103"/>
      <c r="I40" s="1"/>
    </row>
    <row r="41" spans="1:9" x14ac:dyDescent="0.25">
      <c r="A41" s="1"/>
      <c r="B41" s="104" t="s">
        <v>68</v>
      </c>
      <c r="C41" s="105"/>
      <c r="D41" s="105"/>
      <c r="E41" s="105"/>
      <c r="F41" s="106"/>
      <c r="G41" s="22">
        <f>(G35+G36-G37)*(1+'Fane 13. Nøgletal'!C15)</f>
        <v>10627102.019277664</v>
      </c>
      <c r="H41" s="14" t="s">
        <v>3</v>
      </c>
      <c r="I41" s="1"/>
    </row>
    <row r="42" spans="1:9" x14ac:dyDescent="0.25">
      <c r="A42" s="1"/>
      <c r="B42" s="104" t="s">
        <v>156</v>
      </c>
      <c r="C42" s="105"/>
      <c r="D42" s="105"/>
      <c r="E42" s="105"/>
      <c r="F42" s="106"/>
      <c r="G42" s="22">
        <v>353626.80754752009</v>
      </c>
      <c r="H42" s="14" t="s">
        <v>3</v>
      </c>
      <c r="I42" s="1"/>
    </row>
    <row r="43" spans="1:9" x14ac:dyDescent="0.25">
      <c r="A43" s="1"/>
      <c r="B43" s="104" t="s">
        <v>166</v>
      </c>
      <c r="C43" s="105"/>
      <c r="D43" s="105"/>
      <c r="E43" s="105"/>
      <c r="F43" s="106"/>
      <c r="G43" s="22">
        <f>(G41+G42)*'Fane 13. Nøgletal'!C33</f>
        <v>219614.57653650371</v>
      </c>
      <c r="H43" s="14" t="s">
        <v>3</v>
      </c>
      <c r="I43" s="1"/>
    </row>
    <row r="44" spans="1:9" x14ac:dyDescent="0.25">
      <c r="A44" s="1"/>
      <c r="B44" s="53"/>
      <c r="C44" s="54"/>
      <c r="D44" s="54"/>
      <c r="E44" s="54"/>
      <c r="F44" s="54"/>
      <c r="G44" s="35"/>
      <c r="H44" s="19"/>
      <c r="I44" s="1"/>
    </row>
    <row r="45" spans="1:9" x14ac:dyDescent="0.25">
      <c r="A45" s="1"/>
      <c r="B45" s="1"/>
      <c r="C45" s="1"/>
      <c r="D45" s="1"/>
      <c r="E45" s="1"/>
      <c r="F45" s="1"/>
      <c r="G45" s="36"/>
      <c r="H45" s="1"/>
      <c r="I45" s="1"/>
    </row>
    <row r="46" spans="1:9" x14ac:dyDescent="0.25">
      <c r="A46" s="1"/>
      <c r="B46" s="101" t="s">
        <v>158</v>
      </c>
      <c r="C46" s="102"/>
      <c r="D46" s="102"/>
      <c r="E46" s="102"/>
      <c r="F46" s="102"/>
      <c r="G46" s="102"/>
      <c r="H46" s="103"/>
      <c r="I46" s="1"/>
    </row>
    <row r="47" spans="1:9" x14ac:dyDescent="0.25">
      <c r="A47" s="1"/>
      <c r="B47" s="104" t="s">
        <v>112</v>
      </c>
      <c r="C47" s="105"/>
      <c r="D47" s="105"/>
      <c r="E47" s="105"/>
      <c r="F47" s="106"/>
      <c r="G47" s="22">
        <f>(G41+G42-G43)*(1+'Fane 13. Nøgletal'!C15)</f>
        <v>11144209.917598957</v>
      </c>
      <c r="H47" s="14" t="s">
        <v>3</v>
      </c>
      <c r="I47" s="1"/>
    </row>
    <row r="48" spans="1:9" x14ac:dyDescent="0.25">
      <c r="A48" s="1"/>
      <c r="B48" s="104" t="s">
        <v>206</v>
      </c>
      <c r="C48" s="105"/>
      <c r="D48" s="105"/>
      <c r="E48" s="105"/>
      <c r="F48" s="106"/>
      <c r="G48" s="22">
        <f>('Fane 2.1. Økonomisk ramme 2024'!C9+'Fane 2.1. Økonomisk ramme 2024'!C11+'Fane 2.1. Økonomisk ramme 2024'!C13)*(1+'Fane 13. Nøgletal'!C16)</f>
        <v>1322982.6995212354</v>
      </c>
      <c r="H48" s="14" t="s">
        <v>3</v>
      </c>
      <c r="I48" s="1"/>
    </row>
    <row r="49" spans="1:9" x14ac:dyDescent="0.25">
      <c r="A49" s="1"/>
      <c r="B49" s="104" t="s">
        <v>167</v>
      </c>
      <c r="C49" s="105"/>
      <c r="D49" s="105"/>
      <c r="E49" s="105"/>
      <c r="F49" s="106"/>
      <c r="G49" s="22">
        <f>G47*'Fane 13. Nøgletal'!C33+G48*'Fane 13. Nøgletal'!C33</f>
        <v>249343.85234240384</v>
      </c>
      <c r="H49" s="14" t="s">
        <v>3</v>
      </c>
      <c r="I49" s="1"/>
    </row>
    <row r="50" spans="1:9" x14ac:dyDescent="0.25">
      <c r="A50" s="1"/>
      <c r="B50" s="53"/>
      <c r="C50" s="54"/>
      <c r="D50" s="54"/>
      <c r="E50" s="54"/>
      <c r="F50" s="54"/>
      <c r="G50" s="35"/>
      <c r="H50" s="19"/>
      <c r="I50" s="1"/>
    </row>
    <row r="51" spans="1:9" x14ac:dyDescent="0.25">
      <c r="A51" s="1"/>
      <c r="B51" s="1"/>
      <c r="C51" s="1"/>
      <c r="D51" s="1"/>
      <c r="E51" s="1"/>
      <c r="F51" s="1"/>
      <c r="G51" s="36"/>
      <c r="H51" s="1"/>
      <c r="I51" s="1"/>
    </row>
    <row r="52" spans="1:9" x14ac:dyDescent="0.25">
      <c r="A52" s="1"/>
      <c r="B52" s="101" t="s">
        <v>133</v>
      </c>
      <c r="C52" s="102"/>
      <c r="D52" s="102"/>
      <c r="E52" s="102"/>
      <c r="F52" s="102"/>
      <c r="G52" s="102"/>
      <c r="H52" s="103"/>
      <c r="I52" s="1"/>
    </row>
    <row r="53" spans="1:9" x14ac:dyDescent="0.25">
      <c r="A53" s="1"/>
      <c r="B53" s="104" t="s">
        <v>134</v>
      </c>
      <c r="C53" s="105"/>
      <c r="D53" s="105"/>
      <c r="E53" s="105"/>
      <c r="F53" s="106"/>
      <c r="G53" s="22">
        <f>(G47+G48-G49)*(1+'Fane 13. Nøgletal'!C16)</f>
        <v>13205050.944971833</v>
      </c>
      <c r="H53" s="14" t="s">
        <v>3</v>
      </c>
      <c r="I53" s="1"/>
    </row>
    <row r="54" spans="1:9" x14ac:dyDescent="0.25">
      <c r="A54" s="1"/>
      <c r="B54" s="104" t="s">
        <v>135</v>
      </c>
      <c r="C54" s="105"/>
      <c r="D54" s="105"/>
      <c r="E54" s="105"/>
      <c r="F54" s="106"/>
      <c r="G54" s="22">
        <f>(G53)*'Fane 13. Nøgletal'!C33</f>
        <v>264101.01889943669</v>
      </c>
      <c r="H54" s="14" t="s">
        <v>3</v>
      </c>
      <c r="I54" s="1"/>
    </row>
    <row r="55" spans="1:9" x14ac:dyDescent="0.25">
      <c r="A55" s="1"/>
      <c r="B55" s="53"/>
      <c r="C55" s="54"/>
      <c r="D55" s="54"/>
      <c r="E55" s="54"/>
      <c r="F55" s="54"/>
      <c r="G55" s="35"/>
      <c r="H55" s="19"/>
      <c r="I55" s="1"/>
    </row>
    <row r="56" spans="1:9" x14ac:dyDescent="0.25">
      <c r="A56" s="1"/>
      <c r="B56" s="1"/>
      <c r="C56" s="1"/>
      <c r="D56" s="1"/>
      <c r="E56" s="1"/>
      <c r="F56" s="1"/>
      <c r="G56" s="36"/>
      <c r="H56" s="1"/>
      <c r="I56" s="1"/>
    </row>
    <row r="57" spans="1:9" x14ac:dyDescent="0.25">
      <c r="A57" s="1"/>
      <c r="B57" s="101" t="s">
        <v>144</v>
      </c>
      <c r="C57" s="102"/>
      <c r="D57" s="102"/>
      <c r="E57" s="102"/>
      <c r="F57" s="102"/>
      <c r="G57" s="102"/>
      <c r="H57" s="103"/>
      <c r="I57" s="1"/>
    </row>
    <row r="58" spans="1:9" x14ac:dyDescent="0.25">
      <c r="A58" s="1"/>
      <c r="B58" s="104" t="s">
        <v>145</v>
      </c>
      <c r="C58" s="105"/>
      <c r="D58" s="105"/>
      <c r="E58" s="105"/>
      <c r="F58" s="106"/>
      <c r="G58" s="22">
        <f>(G53-G54)*(1+'Fane 13. Nøgletal'!C16)</f>
        <v>13986578.680099046</v>
      </c>
      <c r="H58" s="14" t="s">
        <v>3</v>
      </c>
      <c r="I58" s="1"/>
    </row>
    <row r="59" spans="1:9" x14ac:dyDescent="0.25">
      <c r="A59" s="1"/>
      <c r="B59" s="104" t="s">
        <v>146</v>
      </c>
      <c r="C59" s="105"/>
      <c r="D59" s="105"/>
      <c r="E59" s="105"/>
      <c r="F59" s="106"/>
      <c r="G59" s="22">
        <f>(G58)*'Fane 13. Nøgletal'!C33</f>
        <v>279731.57360198093</v>
      </c>
      <c r="H59" s="14" t="s">
        <v>3</v>
      </c>
      <c r="I59" s="1"/>
    </row>
    <row r="60" spans="1:9" x14ac:dyDescent="0.25">
      <c r="A60" s="1"/>
      <c r="B60" s="53"/>
      <c r="C60" s="54"/>
      <c r="D60" s="54"/>
      <c r="E60" s="54"/>
      <c r="F60" s="54"/>
      <c r="G60" s="35"/>
      <c r="H60" s="19"/>
      <c r="I60" s="1"/>
    </row>
    <row r="61" spans="1:9" x14ac:dyDescent="0.25">
      <c r="A61" s="1"/>
      <c r="B61" s="1"/>
      <c r="C61" s="1"/>
      <c r="D61" s="1"/>
      <c r="E61" s="1"/>
      <c r="F61" s="1"/>
      <c r="G61" s="36"/>
      <c r="H61" s="1"/>
      <c r="I61" s="1"/>
    </row>
    <row r="62" spans="1:9" x14ac:dyDescent="0.25">
      <c r="A62" s="1"/>
      <c r="B62" s="101" t="s">
        <v>220</v>
      </c>
      <c r="C62" s="102"/>
      <c r="D62" s="102"/>
      <c r="E62" s="102"/>
      <c r="F62" s="102"/>
      <c r="G62" s="102"/>
      <c r="H62" s="103"/>
      <c r="I62" s="1"/>
    </row>
    <row r="63" spans="1:9" x14ac:dyDescent="0.25">
      <c r="A63" s="1"/>
      <c r="B63" s="104" t="s">
        <v>221</v>
      </c>
      <c r="C63" s="105"/>
      <c r="D63" s="105"/>
      <c r="E63" s="105"/>
      <c r="F63" s="106"/>
      <c r="G63" s="22">
        <f>(G58-G59)*(1+'Fane 13. Nøgletal'!C16)</f>
        <v>14814360.352702027</v>
      </c>
      <c r="H63" s="14" t="s">
        <v>3</v>
      </c>
      <c r="I63" s="1"/>
    </row>
    <row r="64" spans="1:9" x14ac:dyDescent="0.25">
      <c r="A64" s="1"/>
      <c r="B64" s="104" t="s">
        <v>222</v>
      </c>
      <c r="C64" s="105"/>
      <c r="D64" s="105"/>
      <c r="E64" s="105"/>
      <c r="F64" s="106"/>
      <c r="G64" s="22">
        <f>(G63)*'Fane 13. Nøgletal'!C33</f>
        <v>296287.20705404057</v>
      </c>
      <c r="H64" s="14" t="s">
        <v>3</v>
      </c>
      <c r="I64" s="1"/>
    </row>
    <row r="65" spans="1:9" x14ac:dyDescent="0.25">
      <c r="A65" s="1"/>
      <c r="B65" s="53"/>
      <c r="C65" s="54"/>
      <c r="D65" s="54"/>
      <c r="E65" s="54"/>
      <c r="F65" s="54"/>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6Q0MoqpaWDaUlOf1gvzh7e41blAtS39junuSCRN7Kwj3Sj7fxNCTCqTJvd9NaZ7ANwa4BPGPFV9owjhB3w7t2A==" saltValue="gEqmyMUsyE1BIWDUvAIY7A=="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47">
        <v>16279713.022333013</v>
      </c>
      <c r="H5" s="14" t="s">
        <v>3</v>
      </c>
      <c r="I5" s="1"/>
    </row>
    <row r="6" spans="1:9" x14ac:dyDescent="0.25">
      <c r="A6" s="1"/>
      <c r="B6" s="104" t="s">
        <v>49</v>
      </c>
      <c r="C6" s="105"/>
      <c r="D6" s="105"/>
      <c r="E6" s="105"/>
      <c r="F6" s="106"/>
      <c r="G6" s="22">
        <f>G5*'Fane 13. Nøgletal'!C21</f>
        <v>148145.38850323044</v>
      </c>
      <c r="H6" s="14" t="s">
        <v>3</v>
      </c>
      <c r="I6" s="1"/>
    </row>
    <row r="7" spans="1:9" x14ac:dyDescent="0.25">
      <c r="A7" s="1"/>
      <c r="B7" s="53"/>
      <c r="C7" s="54"/>
      <c r="D7" s="54"/>
      <c r="E7" s="54"/>
      <c r="F7" s="54"/>
      <c r="G7" s="54"/>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22">
        <f>(G5-G6)*(1+'Fane 13. Nøgletal'!C9)</f>
        <v>16336438.54277942</v>
      </c>
      <c r="H10" s="14" t="s">
        <v>3</v>
      </c>
      <c r="I10" s="1"/>
    </row>
    <row r="11" spans="1:9" x14ac:dyDescent="0.25">
      <c r="A11" s="1"/>
      <c r="B11" s="107" t="s">
        <v>54</v>
      </c>
      <c r="C11" s="108"/>
      <c r="D11" s="108"/>
      <c r="E11" s="108"/>
      <c r="F11" s="109"/>
      <c r="G11" s="48">
        <v>183689.21140625002</v>
      </c>
      <c r="H11" s="14" t="s">
        <v>3</v>
      </c>
      <c r="I11" s="1"/>
    </row>
    <row r="12" spans="1:9" x14ac:dyDescent="0.25">
      <c r="A12" s="1"/>
      <c r="B12" s="104" t="s">
        <v>55</v>
      </c>
      <c r="C12" s="105"/>
      <c r="D12" s="105"/>
      <c r="E12" s="105"/>
      <c r="F12" s="106"/>
      <c r="G12" s="22">
        <f>G10*'Fane 13. Nøgletal'!C21+G11*'Fane 13. Nøgletal'!C22</f>
        <v>151912.88978118336</v>
      </c>
      <c r="H12" s="14" t="s">
        <v>3</v>
      </c>
      <c r="I12" s="1"/>
    </row>
    <row r="13" spans="1:9" x14ac:dyDescent="0.25">
      <c r="A13" s="1"/>
      <c r="B13" s="53"/>
      <c r="C13" s="54"/>
      <c r="D13" s="54"/>
      <c r="E13" s="54"/>
      <c r="F13" s="54"/>
      <c r="G13" s="54"/>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22">
        <f>(G10+G11-G12)*(1+'Fane 13. Nøgletal'!C11)</f>
        <v>16644837.69561292</v>
      </c>
      <c r="H16" s="14" t="s">
        <v>3</v>
      </c>
      <c r="I16" s="1"/>
    </row>
    <row r="17" spans="1:9" x14ac:dyDescent="0.25">
      <c r="A17" s="1"/>
      <c r="B17" s="104" t="s">
        <v>101</v>
      </c>
      <c r="C17" s="105"/>
      <c r="D17" s="105"/>
      <c r="E17" s="105"/>
      <c r="F17" s="106"/>
      <c r="G17" s="47">
        <v>124793.44138983981</v>
      </c>
      <c r="H17" s="14" t="s">
        <v>3</v>
      </c>
      <c r="I17" s="1"/>
    </row>
    <row r="18" spans="1:9" x14ac:dyDescent="0.25">
      <c r="A18" s="1"/>
      <c r="B18" s="107" t="s">
        <v>58</v>
      </c>
      <c r="C18" s="108"/>
      <c r="D18" s="108"/>
      <c r="E18" s="108"/>
      <c r="F18" s="109"/>
      <c r="G18" s="47">
        <v>0</v>
      </c>
      <c r="H18" s="14" t="s">
        <v>3</v>
      </c>
      <c r="I18" s="1"/>
    </row>
    <row r="19" spans="1:9" x14ac:dyDescent="0.25">
      <c r="A19" s="1"/>
      <c r="B19" s="104" t="s">
        <v>59</v>
      </c>
      <c r="C19" s="105"/>
      <c r="D19" s="105"/>
      <c r="E19" s="105"/>
      <c r="F19" s="106"/>
      <c r="G19" s="22">
        <f>(G16+G17+G18)*'Fane 13. Nøgletal'!C23</f>
        <v>145895.790891924</v>
      </c>
      <c r="H19" s="14" t="s">
        <v>3</v>
      </c>
      <c r="I19" s="1"/>
    </row>
    <row r="20" spans="1:9" x14ac:dyDescent="0.25">
      <c r="A20" s="1"/>
      <c r="B20" s="53"/>
      <c r="C20" s="54"/>
      <c r="D20" s="54"/>
      <c r="E20" s="54"/>
      <c r="F20" s="54"/>
      <c r="G20" s="54"/>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22">
        <f>(SUM(G16:G18)-G19)*(1+'Fane 13. Nøgletal'!C11)</f>
        <v>16904676.473460108</v>
      </c>
      <c r="H23" s="14" t="s">
        <v>3</v>
      </c>
      <c r="I23" s="1"/>
    </row>
    <row r="24" spans="1:9" x14ac:dyDescent="0.25">
      <c r="A24" s="1"/>
      <c r="B24" s="107" t="s">
        <v>62</v>
      </c>
      <c r="C24" s="108"/>
      <c r="D24" s="108"/>
      <c r="E24" s="108"/>
      <c r="F24" s="109"/>
      <c r="G24" s="47">
        <v>0</v>
      </c>
      <c r="H24" s="14" t="s">
        <v>3</v>
      </c>
      <c r="I24" s="1"/>
    </row>
    <row r="25" spans="1:9" x14ac:dyDescent="0.25">
      <c r="A25" s="1"/>
      <c r="B25" s="104" t="s">
        <v>63</v>
      </c>
      <c r="C25" s="105"/>
      <c r="D25" s="105"/>
      <c r="E25" s="105"/>
      <c r="F25" s="106"/>
      <c r="G25" s="22">
        <f>G23*'Fane 13. Nøgletal'!C23+G24*'Fane 13. Nøgletal'!C24</f>
        <v>147070.68531910292</v>
      </c>
      <c r="H25" s="14" t="s">
        <v>3</v>
      </c>
      <c r="I25" s="1"/>
    </row>
    <row r="26" spans="1:9" x14ac:dyDescent="0.25">
      <c r="A26" s="1"/>
      <c r="B26" s="53"/>
      <c r="C26" s="54"/>
      <c r="D26" s="54"/>
      <c r="E26" s="54"/>
      <c r="F26" s="54"/>
      <c r="G26" s="54"/>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22">
        <f>(G23+G24-G25)*(1+'Fane 13. Nøgletal'!C13)</f>
        <v>16962048.578756325</v>
      </c>
      <c r="H29" s="14" t="s">
        <v>3</v>
      </c>
      <c r="I29" s="1"/>
    </row>
    <row r="30" spans="1:9" x14ac:dyDescent="0.25">
      <c r="A30" s="1"/>
      <c r="B30" s="104" t="s">
        <v>113</v>
      </c>
      <c r="C30" s="105"/>
      <c r="D30" s="105"/>
      <c r="E30" s="105"/>
      <c r="F30" s="106"/>
      <c r="G30" s="47">
        <v>0</v>
      </c>
      <c r="H30" s="14" t="s">
        <v>3</v>
      </c>
      <c r="I30" s="1"/>
    </row>
    <row r="31" spans="1:9" x14ac:dyDescent="0.25">
      <c r="A31" s="1"/>
      <c r="B31" s="104" t="s">
        <v>120</v>
      </c>
      <c r="C31" s="105"/>
      <c r="D31" s="105"/>
      <c r="E31" s="105"/>
      <c r="F31" s="106"/>
      <c r="G31" s="22">
        <f>(G29+G30)*'Fane 13. Nøgletal'!C25</f>
        <v>466456.33591579896</v>
      </c>
      <c r="H31" s="14" t="s">
        <v>3</v>
      </c>
      <c r="I31" s="1"/>
    </row>
    <row r="32" spans="1:9" x14ac:dyDescent="0.25">
      <c r="A32" s="1"/>
      <c r="B32" s="53"/>
      <c r="C32" s="54"/>
      <c r="D32" s="54"/>
      <c r="E32" s="54"/>
      <c r="F32" s="54"/>
      <c r="G32" s="54"/>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22">
        <f>(G29+G30-G31)*(1+'Fane 13. Nøgletal'!C13)</f>
        <v>16696838.468203181</v>
      </c>
      <c r="H35" s="14" t="s">
        <v>3</v>
      </c>
      <c r="I35" s="1"/>
    </row>
    <row r="36" spans="1:9" x14ac:dyDescent="0.25">
      <c r="A36" s="1"/>
      <c r="B36" s="104" t="s">
        <v>129</v>
      </c>
      <c r="C36" s="105"/>
      <c r="D36" s="105"/>
      <c r="E36" s="105"/>
      <c r="F36" s="106"/>
      <c r="G36" s="22">
        <v>41697.849507360006</v>
      </c>
      <c r="H36" s="14" t="s">
        <v>3</v>
      </c>
      <c r="I36" s="1"/>
    </row>
    <row r="37" spans="1:9" x14ac:dyDescent="0.25">
      <c r="A37" s="1"/>
      <c r="B37" s="104" t="s">
        <v>125</v>
      </c>
      <c r="C37" s="105"/>
      <c r="D37" s="105"/>
      <c r="E37" s="105"/>
      <c r="F37" s="106"/>
      <c r="G37" s="22">
        <f>G35*'Fane 13. Nøgletal'!C25+G36*'Fane 13. Nøgletal'!C26</f>
        <v>459780.1860482964</v>
      </c>
      <c r="H37" s="14" t="s">
        <v>3</v>
      </c>
      <c r="I37" s="1"/>
    </row>
    <row r="38" spans="1:9" x14ac:dyDescent="0.25">
      <c r="A38" s="1"/>
      <c r="B38" s="53"/>
      <c r="C38" s="54"/>
      <c r="D38" s="54"/>
      <c r="E38" s="54"/>
      <c r="F38" s="54"/>
      <c r="G38" s="54"/>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22">
        <f>(G35+G36-G37)*(1+'Fane 13. Nøgletal'!C15)</f>
        <v>16858279.849949419</v>
      </c>
      <c r="H41" s="14" t="s">
        <v>3</v>
      </c>
      <c r="I41" s="1"/>
    </row>
    <row r="42" spans="1:9" x14ac:dyDescent="0.25">
      <c r="A42" s="1"/>
      <c r="B42" s="104" t="s">
        <v>169</v>
      </c>
      <c r="C42" s="105"/>
      <c r="D42" s="105"/>
      <c r="E42" s="105"/>
      <c r="F42" s="106"/>
      <c r="G42" s="9">
        <v>47335.491868320009</v>
      </c>
      <c r="H42" s="14" t="s">
        <v>3</v>
      </c>
      <c r="I42" s="1"/>
    </row>
    <row r="43" spans="1:9" x14ac:dyDescent="0.25">
      <c r="A43" s="1"/>
      <c r="B43" s="104" t="s">
        <v>65</v>
      </c>
      <c r="C43" s="105"/>
      <c r="D43" s="105"/>
      <c r="E43" s="105"/>
      <c r="F43" s="106"/>
      <c r="G43" s="57">
        <f>(G41+G42)*'Fane 13. Nøgletal'!C27</f>
        <v>0</v>
      </c>
      <c r="H43" s="14" t="s">
        <v>3</v>
      </c>
      <c r="I43" s="1"/>
    </row>
    <row r="44" spans="1:9" x14ac:dyDescent="0.25">
      <c r="A44" s="1"/>
      <c r="B44" s="53"/>
      <c r="C44" s="54"/>
      <c r="D44" s="54"/>
      <c r="E44" s="54"/>
      <c r="F44" s="54"/>
      <c r="G44" s="54"/>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22">
        <f>(G41+G42-G43)*(1+'Fane 13. Nøgletal'!C15)</f>
        <v>17507455.247986455</v>
      </c>
      <c r="H47" s="14" t="s">
        <v>3</v>
      </c>
      <c r="I47" s="1"/>
    </row>
    <row r="48" spans="1:9" x14ac:dyDescent="0.25">
      <c r="A48" s="1"/>
      <c r="B48" s="104" t="s">
        <v>210</v>
      </c>
      <c r="C48" s="105"/>
      <c r="D48" s="105"/>
      <c r="E48" s="105"/>
      <c r="F48" s="106"/>
      <c r="G48" s="22">
        <f>('Fane 2.1. Økonomisk ramme 2024'!C10+'Fane 2.1. Økonomisk ramme 2024'!C12+'Fane 2.1. Økonomisk ramme 2024'!C14)*(1+'Fane 13. Nøgletal'!C16)</f>
        <v>2140485.5899505345</v>
      </c>
      <c r="H48" s="14" t="s">
        <v>3</v>
      </c>
      <c r="I48" s="1"/>
    </row>
    <row r="49" spans="1:9" x14ac:dyDescent="0.25">
      <c r="A49" s="1"/>
      <c r="B49" s="104" t="s">
        <v>211</v>
      </c>
      <c r="C49" s="105"/>
      <c r="D49" s="105"/>
      <c r="E49" s="105"/>
      <c r="F49" s="106"/>
      <c r="G49" s="57">
        <f>(G47)*'Fane 13. Nøgletal'!C27+G48*'Fane 13. Nøgletal'!C28</f>
        <v>0</v>
      </c>
      <c r="H49" s="14" t="s">
        <v>3</v>
      </c>
      <c r="I49" s="1"/>
    </row>
    <row r="50" spans="1:9" x14ac:dyDescent="0.25">
      <c r="A50" s="1"/>
      <c r="B50" s="53"/>
      <c r="C50" s="54"/>
      <c r="D50" s="54"/>
      <c r="E50" s="54"/>
      <c r="F50" s="54"/>
      <c r="G50" s="54"/>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21235494.457642298</v>
      </c>
      <c r="H53" s="14" t="s">
        <v>3</v>
      </c>
      <c r="I53" s="1"/>
    </row>
    <row r="54" spans="1:9" x14ac:dyDescent="0.25">
      <c r="A54" s="1"/>
      <c r="B54" s="104" t="s">
        <v>132</v>
      </c>
      <c r="C54" s="105"/>
      <c r="D54" s="105"/>
      <c r="E54" s="105"/>
      <c r="F54" s="106"/>
      <c r="G54" s="57">
        <f>(G53)*'Fane 13. Nøgletal'!C28</f>
        <v>0</v>
      </c>
      <c r="H54" s="14" t="s">
        <v>3</v>
      </c>
      <c r="I54" s="1"/>
    </row>
    <row r="55" spans="1:9" x14ac:dyDescent="0.25">
      <c r="A55" s="1"/>
      <c r="B55" s="53"/>
      <c r="C55" s="54"/>
      <c r="D55" s="54"/>
      <c r="E55" s="54"/>
      <c r="F55" s="54"/>
      <c r="G55" s="54"/>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22951322.409819797</v>
      </c>
      <c r="H58" s="14" t="s">
        <v>3</v>
      </c>
      <c r="I58" s="1"/>
    </row>
    <row r="59" spans="1:9" x14ac:dyDescent="0.25">
      <c r="A59" s="1"/>
      <c r="B59" s="104" t="s">
        <v>149</v>
      </c>
      <c r="C59" s="105"/>
      <c r="D59" s="105"/>
      <c r="E59" s="105"/>
      <c r="F59" s="106"/>
      <c r="G59" s="57">
        <f>(G58)*'Fane 13. Nøgletal'!C28</f>
        <v>0</v>
      </c>
      <c r="H59" s="14" t="s">
        <v>3</v>
      </c>
      <c r="I59" s="1"/>
    </row>
    <row r="60" spans="1:9" x14ac:dyDescent="0.25">
      <c r="A60" s="1"/>
      <c r="B60" s="53"/>
      <c r="C60" s="54"/>
      <c r="D60" s="54"/>
      <c r="E60" s="54"/>
      <c r="F60" s="54"/>
      <c r="G60" s="54"/>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24805789.260533236</v>
      </c>
      <c r="H63" s="14" t="s">
        <v>3</v>
      </c>
      <c r="I63" s="1"/>
    </row>
    <row r="64" spans="1:9" x14ac:dyDescent="0.25">
      <c r="A64" s="1"/>
      <c r="B64" s="104" t="s">
        <v>225</v>
      </c>
      <c r="C64" s="105"/>
      <c r="D64" s="105"/>
      <c r="E64" s="105"/>
      <c r="F64" s="106"/>
      <c r="G64" s="57">
        <f>(G63)*'Fane 13. Nøgletal'!C28</f>
        <v>0</v>
      </c>
      <c r="H64" s="14" t="s">
        <v>3</v>
      </c>
      <c r="I64" s="1"/>
    </row>
    <row r="65" spans="1:9" x14ac:dyDescent="0.25">
      <c r="A65" s="1"/>
      <c r="B65" s="53"/>
      <c r="C65" s="54"/>
      <c r="D65" s="54"/>
      <c r="E65" s="54"/>
      <c r="F65" s="54"/>
      <c r="G65" s="54"/>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DXUJPjej2EvhlMqd8zbwIL7dFCV8484eVzD9IuccSAj8yRkUeueCPJsn/8ipRggIH7XeYVL6ALajrlhd+NC7TA==" saltValue="DncvlQw4e4/NI7lAlRrNb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5" t="s">
        <v>150</v>
      </c>
      <c r="C9" s="66"/>
      <c r="D9" s="66"/>
      <c r="E9" s="66"/>
      <c r="F9" s="67"/>
      <c r="G9" s="52">
        <v>1.194878242766634E-2</v>
      </c>
      <c r="H9" s="1"/>
    </row>
    <row r="10" spans="1:8" x14ac:dyDescent="0.25">
      <c r="A10" s="1"/>
      <c r="B10" s="53"/>
      <c r="C10" s="54"/>
      <c r="D10" s="54"/>
      <c r="E10" s="54"/>
      <c r="F10" s="54"/>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Sd4ZdbROXDWVs1RIlCSv3lvj2xQWbuQ291oclZdhdfKpOKLxXJ6l7+34RwbeFSug4RqTYRVsZ6krVO590zTf+w==" saltValue="wuVl3olmWSQD9KprSt+Xp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2023-11-14T17:08:38Z</dcterms:modified>
</cp:coreProperties>
</file>