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enne_projektmappe" defaultThemeVersion="124226"/>
  <mc:AlternateContent xmlns:mc="http://schemas.openxmlformats.org/markup-compatibility/2006">
    <mc:Choice Requires="x15">
      <x15ac:absPath xmlns:x15ac="http://schemas.microsoft.com/office/spreadsheetml/2010/11/ac" url="E:\VAND\Sagsbehandling\Spildevand\RINGKØBING-SKJERN RENSEANLÆG AS (S111)\ØR2025\"/>
    </mc:Choice>
  </mc:AlternateContent>
  <xr:revisionPtr revIDLastSave="0" documentId="13_ncr:1_{F96FEE9B-16CE-4828-8A46-51D4FA3B38B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<sst xmlns="http://schemas.openxmlformats.org/spreadsheetml/2006/main" count="548" uniqueCount="233">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</sst>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election activeCell="B37" sqref="B37"/>
    </sheetView>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5" t="s">
        <v>4</v>
      </c>
      <c r="D6" s="85"/>
      <c r="E6" s="85"/>
      <c r="F6" s="85"/>
      <c r="G6" s="3"/>
    </row>
    <row r="7" spans="1:7" ht="15" customHeight="1" x14ac:dyDescent="0.25">
      <c r="A7" s="1"/>
      <c r="B7" s="3"/>
      <c r="C7" s="85"/>
      <c r="D7" s="85"/>
      <c r="E7" s="85"/>
      <c r="F7" s="85"/>
      <c r="G7" s="3"/>
    </row>
    <row r="8" spans="1:7" ht="15.75" x14ac:dyDescent="0.25">
      <c r="A8" s="1"/>
      <c r="B8" s="4"/>
      <c r="C8" s="93" t="s">
        <v>232</v>
      </c>
      <c r="D8" s="93"/>
      <c r="E8" s="93"/>
      <c r="F8" s="93"/>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2" t="s">
        <v>5</v>
      </c>
      <c r="D11" s="92"/>
      <c r="E11" s="92"/>
      <c r="F11" s="92"/>
      <c r="G11" s="5"/>
    </row>
    <row r="12" spans="1:7" x14ac:dyDescent="0.25">
      <c r="A12" s="1"/>
      <c r="B12" s="1"/>
      <c r="C12" s="1"/>
      <c r="D12" s="1"/>
      <c r="E12" s="1"/>
      <c r="F12" s="1"/>
      <c r="G12" s="5"/>
    </row>
    <row r="13" spans="1:7" x14ac:dyDescent="0.25">
      <c r="A13" s="1"/>
      <c r="B13" s="6" t="s">
        <v>6</v>
      </c>
      <c r="C13" s="97" t="s">
        <v>127</v>
      </c>
      <c r="D13" s="98"/>
      <c r="E13" s="98"/>
      <c r="F13" s="99"/>
      <c r="G13" s="5"/>
    </row>
    <row r="14" spans="1:7" x14ac:dyDescent="0.25">
      <c r="A14" s="1"/>
      <c r="B14" s="6" t="s">
        <v>16</v>
      </c>
      <c r="C14" s="82" t="s">
        <v>186</v>
      </c>
      <c r="D14" s="83"/>
      <c r="E14" s="83"/>
      <c r="F14" s="84"/>
      <c r="G14" s="5"/>
    </row>
    <row r="15" spans="1:7" x14ac:dyDescent="0.25">
      <c r="A15" s="1"/>
      <c r="B15" s="6" t="s">
        <v>30</v>
      </c>
      <c r="C15" s="82" t="s">
        <v>149</v>
      </c>
      <c r="D15" s="83"/>
      <c r="E15" s="83"/>
      <c r="F15" s="84"/>
      <c r="G15" s="5"/>
    </row>
    <row r="16" spans="1:7" x14ac:dyDescent="0.25">
      <c r="A16" s="1"/>
      <c r="B16" s="6" t="s">
        <v>31</v>
      </c>
      <c r="C16" s="82" t="s">
        <v>151</v>
      </c>
      <c r="D16" s="83"/>
      <c r="E16" s="83"/>
      <c r="F16" s="84"/>
      <c r="G16" s="5"/>
    </row>
    <row r="17" spans="1:8" x14ac:dyDescent="0.25">
      <c r="A17" s="1"/>
      <c r="B17" s="6" t="s">
        <v>61</v>
      </c>
      <c r="C17" s="82" t="s">
        <v>152</v>
      </c>
      <c r="D17" s="83"/>
      <c r="E17" s="83"/>
      <c r="F17" s="84"/>
      <c r="G17" s="5"/>
    </row>
    <row r="18" spans="1:8" x14ac:dyDescent="0.25">
      <c r="A18" s="1"/>
      <c r="B18" s="6" t="s">
        <v>53</v>
      </c>
      <c r="C18" s="94" t="s">
        <v>45</v>
      </c>
      <c r="D18" s="95"/>
      <c r="E18" s="95"/>
      <c r="F18" s="96"/>
      <c r="G18" s="5"/>
    </row>
    <row r="19" spans="1:8" x14ac:dyDescent="0.25">
      <c r="A19" s="1"/>
      <c r="B19" s="6" t="s">
        <v>54</v>
      </c>
      <c r="C19" s="94" t="s">
        <v>46</v>
      </c>
      <c r="D19" s="95"/>
      <c r="E19" s="95"/>
      <c r="F19" s="96"/>
      <c r="G19" s="5"/>
    </row>
    <row r="20" spans="1:8" x14ac:dyDescent="0.25">
      <c r="A20" s="1"/>
      <c r="B20" s="6" t="s">
        <v>7</v>
      </c>
      <c r="C20" s="94" t="s">
        <v>10</v>
      </c>
      <c r="D20" s="95"/>
      <c r="E20" s="95"/>
      <c r="F20" s="96"/>
      <c r="G20" s="5"/>
    </row>
    <row r="21" spans="1:8" x14ac:dyDescent="0.25">
      <c r="A21" s="1"/>
      <c r="B21" s="6" t="s">
        <v>55</v>
      </c>
      <c r="C21" s="86" t="s">
        <v>12</v>
      </c>
      <c r="D21" s="87"/>
      <c r="E21" s="87"/>
      <c r="F21" s="88"/>
      <c r="G21" s="5"/>
    </row>
    <row r="22" spans="1:8" x14ac:dyDescent="0.25">
      <c r="A22" s="1"/>
      <c r="B22" s="6" t="s">
        <v>39</v>
      </c>
      <c r="C22" s="89" t="s">
        <v>153</v>
      </c>
      <c r="D22" s="90"/>
      <c r="E22" s="90"/>
      <c r="F22" s="91"/>
      <c r="G22" s="5"/>
    </row>
    <row r="23" spans="1:8" x14ac:dyDescent="0.25">
      <c r="A23" s="1"/>
      <c r="B23" s="6" t="s">
        <v>8</v>
      </c>
      <c r="C23" s="89" t="s">
        <v>112</v>
      </c>
      <c r="D23" s="90"/>
      <c r="E23" s="90"/>
      <c r="F23" s="91"/>
      <c r="G23" s="5"/>
    </row>
    <row r="24" spans="1:8" x14ac:dyDescent="0.25">
      <c r="A24" s="1"/>
      <c r="B24" s="6" t="s">
        <v>9</v>
      </c>
      <c r="C24" s="89" t="s">
        <v>154</v>
      </c>
      <c r="D24" s="90"/>
      <c r="E24" s="90"/>
      <c r="F24" s="91"/>
      <c r="G24" s="5"/>
    </row>
    <row r="25" spans="1:8" x14ac:dyDescent="0.25">
      <c r="A25" s="1"/>
      <c r="B25" s="6" t="s">
        <v>97</v>
      </c>
      <c r="C25" s="89" t="s">
        <v>91</v>
      </c>
      <c r="D25" s="90"/>
      <c r="E25" s="90"/>
      <c r="F25" s="91"/>
      <c r="G25" s="1"/>
    </row>
    <row r="26" spans="1:8" x14ac:dyDescent="0.25">
      <c r="A26" s="1"/>
      <c r="B26" s="6" t="s">
        <v>98</v>
      </c>
      <c r="C26" s="89" t="s">
        <v>40</v>
      </c>
      <c r="D26" s="90"/>
      <c r="E26" s="90"/>
      <c r="F26" s="91"/>
      <c r="G26" s="1"/>
    </row>
    <row r="27" spans="1:8" x14ac:dyDescent="0.25">
      <c r="A27" s="1"/>
      <c r="B27" s="6" t="s">
        <v>99</v>
      </c>
      <c r="C27" s="89" t="s">
        <v>41</v>
      </c>
      <c r="D27" s="90"/>
      <c r="E27" s="90"/>
      <c r="F27" s="91"/>
      <c r="G27" s="1"/>
    </row>
    <row r="28" spans="1:8" x14ac:dyDescent="0.25">
      <c r="A28" s="1"/>
      <c r="B28" s="6" t="s">
        <v>15</v>
      </c>
      <c r="C28" s="89" t="s">
        <v>42</v>
      </c>
      <c r="D28" s="90"/>
      <c r="E28" s="90"/>
      <c r="F28" s="91"/>
      <c r="G28" s="1"/>
      <c r="H28" s="2" t="s">
        <v>150</v>
      </c>
    </row>
    <row r="29" spans="1:8" x14ac:dyDescent="0.25">
      <c r="A29" s="1"/>
      <c r="B29" s="6" t="s">
        <v>33</v>
      </c>
      <c r="C29" s="89" t="s">
        <v>68</v>
      </c>
      <c r="D29" s="90"/>
      <c r="E29" s="90"/>
      <c r="F29" s="91"/>
      <c r="G29" s="1"/>
    </row>
    <row r="30" spans="1:8" x14ac:dyDescent="0.25">
      <c r="A30" s="1"/>
      <c r="B30" s="6" t="s">
        <v>34</v>
      </c>
      <c r="C30" s="89" t="s">
        <v>32</v>
      </c>
      <c r="D30" s="90"/>
      <c r="E30" s="90"/>
      <c r="F30" s="91"/>
      <c r="G30" s="1"/>
    </row>
    <row r="31" spans="1:8" x14ac:dyDescent="0.25">
      <c r="A31" s="1"/>
      <c r="B31" s="6" t="s">
        <v>100</v>
      </c>
      <c r="C31" s="100" t="s">
        <v>52</v>
      </c>
      <c r="D31" s="101"/>
      <c r="E31" s="101"/>
      <c r="F31" s="102"/>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tDwHo0S/g39DqzeiuVxlRwi4CCD2fBw92k50G8vY+RaQvx9fougOms/PbEhV30m8EOs+hUfHajc1o+qzpe8JxQ==" saltValue="hYBMpQurhn9AvVAkA0kPs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228</v>
      </c>
      <c r="C10" s="72">
        <v>1939850</v>
      </c>
      <c r="D10" s="14" t="s">
        <v>3</v>
      </c>
      <c r="E10" s="1"/>
    </row>
    <row r="11" spans="1:5" ht="15" customHeight="1" x14ac:dyDescent="0.25">
      <c r="A11" s="1"/>
      <c r="B11" s="71" t="s">
        <v>229</v>
      </c>
      <c r="C11" s="72">
        <v>94612</v>
      </c>
      <c r="D11" s="14" t="s">
        <v>3</v>
      </c>
      <c r="E11" s="1"/>
    </row>
    <row r="12" spans="1:5" x14ac:dyDescent="0.25">
      <c r="A12" s="1"/>
      <c r="B12" s="71" t="s">
        <v>230</v>
      </c>
      <c r="C12" s="72">
        <v>314418</v>
      </c>
      <c r="D12" s="14" t="s">
        <v>3</v>
      </c>
      <c r="E12" s="1"/>
    </row>
    <row r="13" spans="1:5" x14ac:dyDescent="0.25">
      <c r="A13" s="1"/>
      <c r="B13" s="71" t="s">
        <v>231</v>
      </c>
      <c r="C13" s="72">
        <v>21423</v>
      </c>
      <c r="D13" s="14" t="s">
        <v>3</v>
      </c>
      <c r="E13" s="1"/>
    </row>
    <row r="14" spans="1:5" x14ac:dyDescent="0.25">
      <c r="A14" s="1"/>
      <c r="B14" s="71"/>
      <c r="C14" s="72"/>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2370303</v>
      </c>
      <c r="D20" s="13" t="s">
        <v>3</v>
      </c>
      <c r="E20" s="1"/>
    </row>
    <row r="21" spans="1:5" x14ac:dyDescent="0.25">
      <c r="A21" s="1"/>
      <c r="B21" s="33" t="s">
        <v>168</v>
      </c>
      <c r="C21" s="12">
        <f>C20*(1+'Fane 15. Nøgletal'!C10)^2</f>
        <v>2695024.2949940702</v>
      </c>
      <c r="D21" s="13" t="s">
        <v>3</v>
      </c>
      <c r="E21" s="1"/>
    </row>
    <row r="22" spans="1:5" x14ac:dyDescent="0.25">
      <c r="A22" s="1"/>
      <c r="B22" s="16"/>
      <c r="C22" s="15"/>
      <c r="D22" s="15"/>
      <c r="E22" s="1"/>
    </row>
    <row r="23" spans="1:5" x14ac:dyDescent="0.25">
      <c r="A23" s="1"/>
      <c r="B23" s="16"/>
      <c r="C23" s="15"/>
      <c r="D23" s="15"/>
      <c r="E23" s="1"/>
    </row>
    <row r="24" spans="1:5" x14ac:dyDescent="0.25">
      <c r="A24" s="1"/>
      <c r="B24" s="107" t="s">
        <v>60</v>
      </c>
      <c r="C24" s="108"/>
      <c r="D24" s="109"/>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7"/>
      <c r="C29" s="108"/>
      <c r="D29" s="109"/>
      <c r="E29" s="1"/>
    </row>
    <row r="30" spans="1:5" x14ac:dyDescent="0.25">
      <c r="A30" s="1"/>
      <c r="B30" s="1"/>
      <c r="C30" s="1"/>
      <c r="D30" s="1"/>
      <c r="E30" s="1"/>
    </row>
    <row r="31" spans="1:5" x14ac:dyDescent="0.25">
      <c r="A31" s="1"/>
      <c r="B31" s="1"/>
      <c r="C31" s="1"/>
      <c r="D31" s="1"/>
      <c r="E31" s="1"/>
    </row>
    <row r="32" spans="1:5" x14ac:dyDescent="0.25">
      <c r="A32" s="1"/>
      <c r="B32" s="107" t="s">
        <v>47</v>
      </c>
      <c r="C32" s="108"/>
      <c r="D32" s="109"/>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7"/>
      <c r="C37" s="108"/>
      <c r="D37" s="109"/>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ed8ljcTXU/DUDGvgRkT63K8QepMqB5820l18nMPnc4hed8THza926LmVIn7frIU9i7Qn824Mx6qeLcYgp78KtQ==" saltValue="FCWfr/IWpAU1Hu7Emo0/m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election activeCell="C23" sqref="C23"/>
    </sheetView>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-1614548.0109282434</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-1089536</v>
      </c>
      <c r="D14" s="14" t="s">
        <v>3</v>
      </c>
      <c r="E14" s="1"/>
    </row>
    <row r="15" spans="1:5" x14ac:dyDescent="0.25">
      <c r="A15" s="1"/>
      <c r="B15" s="65" t="s">
        <v>203</v>
      </c>
      <c r="C15" s="9">
        <v>-1089536</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32949747.837696102</v>
      </c>
      <c r="D20" s="14" t="s">
        <v>3</v>
      </c>
      <c r="E20" s="1"/>
    </row>
    <row r="21" spans="1:5" x14ac:dyDescent="0.25">
      <c r="A21" s="1"/>
      <c r="B21" s="65" t="s">
        <v>207</v>
      </c>
      <c r="C21" s="9">
        <v>36210498</v>
      </c>
      <c r="D21" s="14" t="s">
        <v>3</v>
      </c>
      <c r="E21" s="1"/>
    </row>
    <row r="22" spans="1:5" x14ac:dyDescent="0.25">
      <c r="A22" s="1"/>
      <c r="B22" s="65" t="s">
        <v>29</v>
      </c>
      <c r="C22" s="9">
        <v>0</v>
      </c>
      <c r="D22" s="14" t="s">
        <v>3</v>
      </c>
      <c r="E22" s="1"/>
    </row>
    <row r="23" spans="1:5" x14ac:dyDescent="0.25">
      <c r="A23" s="1"/>
      <c r="B23" s="81" t="s">
        <v>208</v>
      </c>
      <c r="C23" s="57">
        <f>C20-C21-C22</f>
        <v>-3260750.1623038985</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-1089536</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-3260750.1623038985</v>
      </c>
      <c r="D31" s="14" t="s">
        <v>3</v>
      </c>
      <c r="E31" s="1"/>
    </row>
    <row r="32" spans="1:5" x14ac:dyDescent="0.25">
      <c r="A32" s="1"/>
      <c r="B32" s="66" t="s">
        <v>49</v>
      </c>
      <c r="C32" s="9">
        <v>2</v>
      </c>
      <c r="D32" s="14" t="s">
        <v>20</v>
      </c>
      <c r="E32" s="1"/>
    </row>
    <row r="33" spans="1:5" x14ac:dyDescent="0.25">
      <c r="A33" s="1"/>
      <c r="B33" s="67" t="s">
        <v>70</v>
      </c>
      <c r="C33" s="57">
        <f>C31/C32</f>
        <v>-1630375.0811519492</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VajqPkqUSBc6Qc/fg+SoLTO6NFHB/nbVbklXULY6rWrYNx7qAGZnFPzx/w+fp0FnoXK4/3goF+dGOXZMtwrrzg==" saltValue="yYsfxacLotQgGnD6sh364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election activeCell="C16" sqref="C16"/>
    </sheetView>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v>-929485.66666666698</v>
      </c>
      <c r="D10" s="9" t="s">
        <v>3</v>
      </c>
      <c r="E10" s="1"/>
    </row>
    <row r="11" spans="1:5" x14ac:dyDescent="0.25">
      <c r="A11" s="1"/>
      <c r="B11" s="68" t="s">
        <v>104</v>
      </c>
      <c r="C11" s="9">
        <v>-929485.66666666698</v>
      </c>
      <c r="D11" s="9" t="s">
        <v>3</v>
      </c>
      <c r="E11" s="1"/>
    </row>
    <row r="12" spans="1:5" x14ac:dyDescent="0.25">
      <c r="A12" s="1"/>
      <c r="B12" s="68" t="s">
        <v>105</v>
      </c>
      <c r="C12" s="9">
        <v>-929485.66666666698</v>
      </c>
      <c r="D12" s="9" t="s">
        <v>3</v>
      </c>
      <c r="E12" s="1"/>
    </row>
    <row r="13" spans="1:5" x14ac:dyDescent="0.25">
      <c r="A13" s="1"/>
      <c r="B13" s="68" t="s">
        <v>106</v>
      </c>
      <c r="C13" s="9">
        <v>-929485.66666666698</v>
      </c>
      <c r="D13" s="9" t="s">
        <v>3</v>
      </c>
      <c r="E13" s="1"/>
    </row>
    <row r="14" spans="1:5" x14ac:dyDescent="0.25">
      <c r="A14" s="1"/>
      <c r="B14" s="68" t="s">
        <v>107</v>
      </c>
      <c r="C14" s="9">
        <v>-929485.66666666698</v>
      </c>
      <c r="D14" s="9" t="s">
        <v>3</v>
      </c>
      <c r="E14" s="1"/>
    </row>
    <row r="15" spans="1:5" x14ac:dyDescent="0.25">
      <c r="A15" s="1"/>
      <c r="B15" s="68" t="s">
        <v>108</v>
      </c>
      <c r="C15" s="9">
        <v>-929485.66666666698</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5" t="s">
        <v>111</v>
      </c>
      <c r="C18" s="12">
        <f>SUM(C10:C17)</f>
        <v>-5576914.0000000019</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8olxBqi8iwPy8qRQvaHRBMzUxPHjzC+ldZfg84HySFDLsacTADx6D3zAtiS3YrePuUpcSZTjLv2qrmtGf2Rpg==" saltValue="5O2SXeqN6UJUHVoSyAdet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217</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7" t="s">
        <v>219</v>
      </c>
      <c r="C12" s="108"/>
      <c r="D12" s="109"/>
      <c r="E12" s="1"/>
    </row>
    <row r="13" spans="1:5" ht="26.25" x14ac:dyDescent="0.25">
      <c r="A13" s="1"/>
      <c r="B13" s="78" t="s">
        <v>218</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6XtKOmI1lXT7CNsrUgadWcAY9msk5uyy0DgpSu5/9zS5iKgrTbvvebsmqDnotwp84d3xaSA9e4sYdydEdLWlpQ==" saltValue="4Jl+3GfLOFHndHGtaR3CI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NdYh/rapP3UPbfTTP9ujg6FUID6SH7jBEAho5cXEdWeMUKrk0MvZWhY5PimhjLY6KYEgxJK1AMvKlgedwIs2iA==" saltValue="uUacxQdcTT9zen1DNgYSi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jBcGu910phjYmBRiYQrhaMI68m/cL6HK4vaONotrpUs2ikWM7SCanzpTP6aVORc3NubijMGSNUCOrE/BgZwtQ==" saltValue="uKuHQZqUSBp+b6d44Gl95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3bdHv3kpcYFRZdcSWHgAM0DqvxxNBKu+E16E6E+YTRRgfkcWrRFQlIVdZtkRf3MSOotNhIUPd8kYUEZY8KLOg==" saltValue="a22tOWNNgC0ZP5gkHx3gQ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1tOk36IqJW5Quyf0HMQH0T5ugKEhiTg0rWSf10dNL9+sQDJS58dt2/BSFMS01QO0Dmtx9HYbxECioDk7mrji7A==" saltValue="wPaKK2nJvtg/vG/G9OCNT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Tq6GO8Y2z2gOMjHToSfbQr6RjcWKT0GoQPlOULJuE+YLGON4VFTilAazsx9MVE75O/RyPlV3lAUrvhHc1PKZ4Q==" saltValue="Z8xr1/lG/Na9kGZzZMxFT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Iy3EPt09W2jsy1xYmEuVcsW8Hsa5GyD7IL6+Mvwj5JED7bSeya2v3f0Bb2wI8uiRYOJjuTcI71yR4C7qk28sA==" saltValue="3zhQAiAV9pbaVyq42vbHu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election activeCell="E30" sqref="E30"/>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33834435.745546259</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2733822.4082401376</v>
      </c>
      <c r="D16" s="8" t="s">
        <v>3</v>
      </c>
      <c r="E16" s="1"/>
    </row>
    <row r="17" spans="1:5" ht="17.25" customHeight="1" x14ac:dyDescent="0.25">
      <c r="A17" s="1"/>
      <c r="B17" s="64" t="s">
        <v>10</v>
      </c>
      <c r="C17" s="38">
        <f>-SUM(C9,C10:C16)*'Fane 5. Individuelt eff. krav'!C9</f>
        <v>-57567.881736505697</v>
      </c>
      <c r="D17" s="8" t="s">
        <v>3</v>
      </c>
      <c r="E17" s="1"/>
    </row>
    <row r="18" spans="1:5" ht="17.25" customHeight="1" x14ac:dyDescent="0.25">
      <c r="A18" s="1"/>
      <c r="B18" s="64" t="s">
        <v>22</v>
      </c>
      <c r="C18" s="38">
        <f>-'Fane 4.1. Gen. krav - drift'!C17</f>
        <v>-437326.78802607791</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36073363.484023817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2695024.2949940702</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-1089536</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-929485.66666666698</v>
      </c>
      <c r="D36" s="11" t="s">
        <v>3</v>
      </c>
      <c r="E36" s="1"/>
    </row>
    <row r="37" spans="1:5" x14ac:dyDescent="0.25">
      <c r="A37" s="1"/>
      <c r="B37" s="33" t="s">
        <v>71</v>
      </c>
      <c r="C37" s="45">
        <f>SUM(C34,C32,C24,C30,C22,C20,C36)</f>
        <v>36749366.112351224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9v/EOLGAtU4e2kTdfEOIOxjTvnpOWMaJxcdmglrWEPxO76rSLI114WH8vwRBAmjPkqWuEGGnEkXNw6TGkHZSeQ==" saltValue="XHGKgaYDehk9HzzIc0E7L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IQNXqJeEl1CKm7m+d450UrNRWToyeIHXH2RRBWy9uP3RcNdgigHcEpqsMPHK4gmpnSvu33Q3HXld+StADajEUQ==" saltValue="8MCB+xHcl5e29LcnzeiiX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election activeCell="B8" sqref="B8:D23"/>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36073363.484023817</v>
      </c>
      <c r="D9" s="8" t="s">
        <v>3</v>
      </c>
      <c r="E9" s="1"/>
    </row>
    <row r="10" spans="1:5" ht="15" customHeight="1" x14ac:dyDescent="0.25">
      <c r="A10" s="1"/>
      <c r="B10" s="26" t="s">
        <v>19</v>
      </c>
      <c r="C10" s="7">
        <f>C9*'Fane 15. Nøgletal'!C10</f>
        <v>2391663.9989907788</v>
      </c>
      <c r="D10" s="8" t="s">
        <v>3</v>
      </c>
      <c r="E10" s="1"/>
    </row>
    <row r="11" spans="1:5" ht="15" customHeight="1" x14ac:dyDescent="0.25">
      <c r="A11" s="1"/>
      <c r="B11" s="26" t="s">
        <v>10</v>
      </c>
      <c r="C11" s="9">
        <f>-SUM(C9:C10)*'Fane 5. Individuelt eff. krav'!C9</f>
        <v>-60553.886483224378</v>
      </c>
      <c r="D11" s="8" t="s">
        <v>3</v>
      </c>
      <c r="E11" s="1"/>
    </row>
    <row r="12" spans="1:5" ht="15" customHeight="1" x14ac:dyDescent="0.25">
      <c r="A12" s="1"/>
      <c r="B12" s="26" t="s">
        <v>22</v>
      </c>
      <c r="C12" s="9">
        <f>-'Fane 4.1. Gen. krav - drift'!C22</f>
        <v>-456995.1229907627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37947478.473540612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2873704.4057521774</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-1630375.0811519492</v>
      </c>
      <c r="D20" s="11" t="s">
        <v>3</v>
      </c>
      <c r="E20" s="1"/>
    </row>
    <row r="21" spans="1:5" x14ac:dyDescent="0.25">
      <c r="A21" s="1"/>
      <c r="B21" s="30" t="s">
        <v>75</v>
      </c>
      <c r="C21" s="28"/>
      <c r="D21" s="19"/>
      <c r="E21" s="1"/>
    </row>
    <row r="22" spans="1:5" x14ac:dyDescent="0.25">
      <c r="A22" s="1"/>
      <c r="B22" s="67" t="s">
        <v>76</v>
      </c>
      <c r="C22" s="10">
        <f>'Fane 8. Skattesagen'!C15</f>
        <v>-929485.66666666698</v>
      </c>
      <c r="D22" s="11" t="s">
        <v>3</v>
      </c>
      <c r="E22" s="1"/>
    </row>
    <row r="23" spans="1:5" x14ac:dyDescent="0.25">
      <c r="A23" s="1"/>
      <c r="B23" s="33" t="s">
        <v>81</v>
      </c>
      <c r="C23" s="12">
        <f>SUM(C14,C16,C18,C20,C22)</f>
        <v>38261322.131474175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aJDX0+hYFxMmaLoQ+gKyW/nniztUHr1huYplsCFaNX3NiwKVbOFa1W5ZuSqCiLTOCnjtmPsiShfrAOKNpeuJg==" saltValue="Ezoe+f3L6ff2Ixfg2HzpD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election activeCell="B8" sqref="B8:D23"/>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37947478.473540612</v>
      </c>
      <c r="D9" s="8" t="s">
        <v>3</v>
      </c>
      <c r="E9" s="1"/>
    </row>
    <row r="10" spans="1:5" ht="15" customHeight="1" x14ac:dyDescent="0.25">
      <c r="A10" s="1"/>
      <c r="B10" s="26" t="s">
        <v>19</v>
      </c>
      <c r="C10" s="7">
        <f>SUM(C9:C9)*'Fane 15. Nøgletal'!C10</f>
        <v>2515917.8227957427</v>
      </c>
      <c r="D10" s="8" t="s">
        <v>3</v>
      </c>
      <c r="E10" s="1"/>
    </row>
    <row r="11" spans="1:5" ht="15" customHeight="1" x14ac:dyDescent="0.25">
      <c r="A11" s="1"/>
      <c r="B11" s="26" t="s">
        <v>10</v>
      </c>
      <c r="C11" s="9">
        <f>-SUM(C9:C10)*'Fane 5. Individuelt eff. krav'!C9</f>
        <v>-63699.83505500004</v>
      </c>
      <c r="D11" s="8" t="s">
        <v>3</v>
      </c>
      <c r="E11" s="1"/>
    </row>
    <row r="12" spans="1:5" ht="15" customHeight="1" x14ac:dyDescent="0.25">
      <c r="A12" s="1"/>
      <c r="B12" s="26" t="s">
        <v>22</v>
      </c>
      <c r="C12" s="9">
        <f>-'Fane 4.1. Gen. krav - drift'!C27</f>
        <v>-477548.02165214927</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39922148.439629205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3064231.0078535462</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-1630375.0811519492</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41356004.366330802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UnPsMP4DGYcMrknVb+h4zp8mhEcgrgLz3A6o/3m6c0IWh1V+rDqQjyt8alBGk14a/1YfNpZiKdp5mRNN4mfbw==" saltValue="blaYVgBuPn+c1GDjcBkAJ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39922148.439629205</v>
      </c>
      <c r="D9" s="8" t="s">
        <v>3</v>
      </c>
      <c r="E9" s="1"/>
    </row>
    <row r="10" spans="1:5" ht="15" customHeight="1" x14ac:dyDescent="0.25">
      <c r="A10" s="1"/>
      <c r="B10" s="26" t="s">
        <v>19</v>
      </c>
      <c r="C10" s="7">
        <f>SUM(C9:C9)*'Fane 15. Nøgletal'!C10</f>
        <v>2646838.4415474162</v>
      </c>
      <c r="D10" s="8" t="s">
        <v>3</v>
      </c>
      <c r="E10" s="1"/>
    </row>
    <row r="11" spans="1:5" ht="15" customHeight="1" x14ac:dyDescent="0.25">
      <c r="A11" s="1"/>
      <c r="B11" s="26" t="s">
        <v>10</v>
      </c>
      <c r="C11" s="9">
        <f>-SUM(C9:C10)*'Fane 5. Individuelt eff. krav'!C9</f>
        <v>-67014.578384141452</v>
      </c>
      <c r="D11" s="8" t="s">
        <v>3</v>
      </c>
      <c r="E11" s="1"/>
    </row>
    <row r="12" spans="1:5" ht="15" customHeight="1" x14ac:dyDescent="0.25">
      <c r="A12" s="1"/>
      <c r="B12" s="26" t="s">
        <v>22</v>
      </c>
      <c r="C12" s="9">
        <f>-'Fane 4.1. Gen. krav - drift'!C32</f>
        <v>-499025.26637793303</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42002947.036414549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3267389.5236742366</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45270336.560088784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AKPRh4+cmM35N7x8h/IZcI1phX//oZYusXbo86l6ryx53Owcp6b+lfyaStkdNQKSqUxTMoSEppptwiBppIu7Q==" saltValue="9kWFSIkjes+kKAzT0HM4M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topLeftCell="A7" zoomScaleNormal="100" workbookViewId="0">
      <selection activeCell="C32" sqref="C32"/>
    </sheetView>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31736977.40425501</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2564347.7742638048</v>
      </c>
      <c r="D16" s="8" t="s">
        <v>3</v>
      </c>
      <c r="E16" s="1"/>
    </row>
    <row r="17" spans="1:5" ht="15" customHeight="1" x14ac:dyDescent="0.25">
      <c r="A17" s="1"/>
      <c r="B17" s="64" t="s">
        <v>10</v>
      </c>
      <c r="C17" s="38">
        <v>-53999.143819704579</v>
      </c>
      <c r="D17" s="8" t="s">
        <v>3</v>
      </c>
      <c r="E17" s="1"/>
    </row>
    <row r="18" spans="1:5" ht="15" customHeight="1" x14ac:dyDescent="0.25">
      <c r="A18" s="1"/>
      <c r="B18" s="64" t="s">
        <v>22</v>
      </c>
      <c r="C18" s="38">
        <v>-412890.28915285546</v>
      </c>
      <c r="D18" s="8" t="s">
        <v>3</v>
      </c>
      <c r="E18" s="1"/>
    </row>
    <row r="19" spans="1:5" ht="15" customHeight="1" x14ac:dyDescent="0.25">
      <c r="A19" s="1"/>
      <c r="B19" s="64" t="s">
        <v>23</v>
      </c>
      <c r="C19" s="38">
        <v>0</v>
      </c>
      <c r="D19" s="8" t="s">
        <v>3</v>
      </c>
      <c r="E19" s="43"/>
    </row>
    <row r="20" spans="1:5" ht="15" customHeight="1" x14ac:dyDescent="0.25">
      <c r="A20" s="1"/>
      <c r="B20" s="81" t="s">
        <v>21</v>
      </c>
      <c r="C20" s="10">
        <v>33834435.745546259</v>
      </c>
      <c r="D20" s="11" t="s">
        <v>3</v>
      </c>
      <c r="E20" s="1"/>
    </row>
    <row r="21" spans="1:5" ht="15" customHeight="1" x14ac:dyDescent="0.25">
      <c r="A21" s="1"/>
      <c r="B21" s="33" t="s">
        <v>12</v>
      </c>
      <c r="C21" s="28"/>
      <c r="D21" s="19"/>
      <c r="E21" s="1"/>
    </row>
    <row r="22" spans="1:5" ht="15" customHeight="1" x14ac:dyDescent="0.25">
      <c r="A22" s="1"/>
      <c r="B22" s="31" t="s">
        <v>12</v>
      </c>
      <c r="C22" s="10">
        <v>2280866.9561484801</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-1089536</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-929485.66666666698</v>
      </c>
      <c r="D36" s="11" t="s">
        <v>3</v>
      </c>
      <c r="E36" s="1"/>
    </row>
    <row r="37" spans="1:5" x14ac:dyDescent="0.25">
      <c r="A37" s="1"/>
      <c r="B37" s="30" t="s">
        <v>213</v>
      </c>
      <c r="C37" s="28"/>
      <c r="D37" s="19"/>
      <c r="E37" s="1"/>
    </row>
    <row r="38" spans="1:5" x14ac:dyDescent="0.25">
      <c r="A38" s="1"/>
      <c r="B38" s="67" t="s">
        <v>214</v>
      </c>
      <c r="C38" s="10">
        <v>231725.85763449274</v>
      </c>
      <c r="D38" s="11" t="s">
        <v>3</v>
      </c>
      <c r="E38" s="1"/>
    </row>
    <row r="39" spans="1:5" x14ac:dyDescent="0.25">
      <c r="A39" s="1"/>
      <c r="B39" s="33" t="s">
        <v>65</v>
      </c>
      <c r="C39" s="45">
        <v>34328006.89266257</v>
      </c>
      <c r="D39" s="30" t="s">
        <v>3</v>
      </c>
      <c r="E39" s="1"/>
    </row>
    <row r="40" spans="1:5" ht="30" customHeight="1" x14ac:dyDescent="0.25">
      <c r="A40" s="1"/>
      <c r="B40" s="105" t="s">
        <v>225</v>
      </c>
      <c r="C40" s="105"/>
      <c r="D40" s="105"/>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DazgwwSHJmRDW2bFBzHQ/gjTtlSdb8CPf8UDk9LFawQX8j21yHcu/N6nq88LhrfkX8frK16D1aL7b+jO4KMWaw==" saltValue="EdPzDsTdYWTB18jyOkKJtw=="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20644514.457642768</v>
      </c>
      <c r="D9" s="14" t="s">
        <v>3</v>
      </c>
      <c r="E9" s="1"/>
    </row>
    <row r="10" spans="1:5" x14ac:dyDescent="0.25">
      <c r="A10" s="1"/>
      <c r="B10" s="65" t="s">
        <v>125</v>
      </c>
      <c r="C10" s="2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412890.28915285534</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21866339.401303895</v>
      </c>
      <c r="D15" s="14" t="s">
        <v>3</v>
      </c>
      <c r="E15" s="1"/>
    </row>
    <row r="16" spans="1:5" x14ac:dyDescent="0.25">
      <c r="A16" s="1"/>
      <c r="B16" s="65" t="s">
        <v>184</v>
      </c>
      <c r="C16" s="2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437326.78802607791</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22849756.149538133</v>
      </c>
      <c r="D21" s="14" t="s">
        <v>3</v>
      </c>
      <c r="E21" s="1"/>
    </row>
    <row r="22" spans="1:5" x14ac:dyDescent="0.25">
      <c r="A22" s="1"/>
      <c r="B22" s="65" t="s">
        <v>196</v>
      </c>
      <c r="C22" s="23">
        <f>C21*'Fane 15. Nøgletal'!C21</f>
        <v>456995.1229907627</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23877401.082607463</v>
      </c>
      <c r="D26" s="14" t="s">
        <v>3</v>
      </c>
      <c r="E26" s="1"/>
    </row>
    <row r="27" spans="1:5" x14ac:dyDescent="0.25">
      <c r="A27" s="1"/>
      <c r="B27" s="65" t="s">
        <v>194</v>
      </c>
      <c r="C27" s="23">
        <f>C26*'Fane 15. Nøgletal'!C21</f>
        <v>477548.02165214927</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24951263.318896651</v>
      </c>
      <c r="D31" s="14" t="s">
        <v>3</v>
      </c>
      <c r="E31" s="1"/>
    </row>
    <row r="32" spans="1:5" x14ac:dyDescent="0.25">
      <c r="A32" s="1"/>
      <c r="B32" s="65" t="s">
        <v>195</v>
      </c>
      <c r="C32" s="23">
        <f>C31*'Fane 15. Nøgletal'!C21</f>
        <v>499025.26637793303</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4wG+c8ixdXUnwVrHoqVzs9hDrhqIlVE9FHlYTYtMENpdvxaN2Qt1pdH6oFUSonVsGVESwW8mMH+pNIqsZc0Qg==" saltValue="UIIQckaaLqOfl0q9hADVB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14284810.003722733</v>
      </c>
      <c r="D9" s="14" t="s">
        <v>3</v>
      </c>
      <c r="E9" s="1"/>
    </row>
    <row r="10" spans="1:5" x14ac:dyDescent="0.25">
      <c r="A10" s="1"/>
      <c r="B10" s="65" t="s">
        <v>126</v>
      </c>
      <c r="C10" s="23">
        <f>('Fane 3. Omkostninger i ØR2024'!C11+'Fane 3. Omkostninger i ØR2024'!C13+'Fane 3. Omkostninger i ØR2024'!C15)*(1+'Fane 15. Nøgletal'!C9)</f>
        <v>0</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15439022.65202353</v>
      </c>
      <c r="D15" s="14" t="s">
        <v>3</v>
      </c>
      <c r="E15" s="1"/>
    </row>
    <row r="16" spans="1:5" x14ac:dyDescent="0.25">
      <c r="A16" s="1"/>
      <c r="B16" s="65" t="s">
        <v>185</v>
      </c>
      <c r="C16" s="23">
        <f>('Fane 2.1. Økonomisk ramme 2025'!C11+'Fane 2.1. Økonomisk ramme 2025'!C13+'Fane 2.1. Økonomisk ramme 2025'!C15)*(1+'Fane 15. Nøgletal'!C10)</f>
        <v>0</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16462629.853852689</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17554102.213163123</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18717939.189895838</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f6XtWsgDdbzZ5DAF4jiPoDC5iFpPSKb+XQRdjcLfeBaebsa8KM2+hdf0AO45a5WTI+VqeAcd7+FUvA6fjOMA==" saltValue="tzZNevNOf6y2JIxsE7iiL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1.5742582404227785E-3</v>
      </c>
      <c r="D9" s="1"/>
    </row>
    <row r="10" spans="1:4" x14ac:dyDescent="0.25">
      <c r="A10" s="1"/>
      <c r="B10" s="33"/>
      <c r="C10" s="19"/>
      <c r="D10" s="1"/>
    </row>
    <row r="11" spans="1:4" x14ac:dyDescent="0.25">
      <c r="A11" s="1"/>
      <c r="B11" s="111" t="s">
        <v>220</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5ZiNQx/mhZ1a9phVYTzDPxiUWE9Jfzra26nyLfMpYVkgkeM5Zoe3ppz16EGAh/stTALP2i2U61nzW40hEgtwdg==" saltValue="h3jJMVHR+wcnTK2pZSXYY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2025-12-03T15:23:45Z</dcterms:modified>
</cp:coreProperties>
</file>