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FV Vand AS (V050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1" i="3"/>
  <c r="E20" i="4"/>
  <c r="E29" i="8"/>
  <c r="E25" i="2" s="1"/>
  <c r="E10" i="2"/>
  <c r="E14" i="6"/>
  <c r="C11" i="12" l="1"/>
  <c r="C12" i="12" s="1"/>
  <c r="C13" i="7"/>
  <c r="C14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<sst xmlns="http://schemas.openxmlformats.org/spreadsheetml/2006/main" count="403" uniqueCount="153">
  <si>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</si>
  <si>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</si>
  <si>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</si>
  <si>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</si>
  <si>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</si>
  <si>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</si>
  <si>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</si>
  <si>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</si>
  <si>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</si>
  <si>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</si>
  <si>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</si>
  <si>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</si>
  <si>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</si>
  <si>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</si>
  <si>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</si>
  <si>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</si>
  <si>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</si>
  <si>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</si>
  <si>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</si>
  <si>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</si>
  <si>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</si>
  <si>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</si>
  <si>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</si>
  <si>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</si>
  <si>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</si>
  <si>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</si>
  <si>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</si>
  <si>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</si>
  <si>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</si>
  <si>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</si>
  <si>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</si>
  <si>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</si>
  <si>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</si>
  <si>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</si>
  <si>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</si>
  <si>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</si>
  <si>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</si>
  <si>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</si>
  <si>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</si>
  <si>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</si>
  <si>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</si>
  <si>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</si>
  <si>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</si>
  <si>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</si>
  <si>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</si>
  <si>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</si>
  <si>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</si>
  <si>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</si>
  <si>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</si>
  <si>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</si>
  <si>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</si>
  <si>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</si>
  <si>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</si>
  <si>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</si>
  <si>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</si>
  <si>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</si>
  <si>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</si>
  <si>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</si>
  <si>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</si>
  <si>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</si>
  <si>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</si>
  <si>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</si>
  <si>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</si>
  <si>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</si>
  <si>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</si>
  <si>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</si>
  <si>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</si>
  <si>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</si>
  <si>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</si>
  <si>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</si>
  <si>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</si>
  <si>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</si>
  <si>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</si>
  <si>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</si>
  <si>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</si>
  <si>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</si>
  <si>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</si>
  <si>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</si>
  <si>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</si>
  <si>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</si>
  <si>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</si>
  <si>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</si>
  <si>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</si>
  <si>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</si>
  <si>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</si>
  <si>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</si>
  <si>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</si>
  <si>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</si>
  <si>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</si>
  <si>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</si>
  <si>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</si>
  <si>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</si>
  <si>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</si>
  <si>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</si>
  <si>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</si>
  <si>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</si>
  <si>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</si>
  <si>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</si>
  <si>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</si>
  <si>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</si>
  <si>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</si>
  <si>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</si>
  <si>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</si>
  <si>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</si>
  <si>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</si>
  <si>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</si>
  <si>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</si>
  <si>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</si>
  <si>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</si>
  <si>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</si>
  <si>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</si>
  <si>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</si>
  <si>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</si>
  <si>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</si>
  <si>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</si>
  <si>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</si>
  <si>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</si>
  <si>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</si>
  <si>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</si>
  <si>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</si>
  <si>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</si>
  <si>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</si>
  <si>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</si>
  <si>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</si>
  <si>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</si>
  <si>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</si>
  <si>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</si>
  <si>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</si>
  <si>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</si>
  <si>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</si>
  <si>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</si>
  <si>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til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</si>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</sst>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4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5">
      <c r="A8" s="1"/>
      <c r="B8" s="1"/>
      <c r="C8" s="4"/>
      <c r="D8" s="72" t="s">
        <v>94</v>
      </c>
      <c r="E8" s="72"/>
      <c r="F8" s="72"/>
      <c r="G8" s="7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7" t="s">
        <v>87</v>
      </c>
      <c r="E13" s="68"/>
      <c r="F13" s="68"/>
      <c r="G13" s="69"/>
      <c r="H13" s="1"/>
      <c r="I13" s="1"/>
    </row>
    <row r="14" spans="1:9" x14ac:dyDescent="0.45">
      <c r="A14" s="1"/>
      <c r="B14" s="1"/>
      <c r="C14" s="6" t="s">
        <v>15</v>
      </c>
      <c r="D14" s="67" t="s">
        <v>37</v>
      </c>
      <c r="E14" s="68"/>
      <c r="F14" s="68"/>
      <c r="G14" s="69"/>
      <c r="H14" s="1"/>
      <c r="I14" s="1"/>
    </row>
    <row r="15" spans="1:9" x14ac:dyDescent="0.45">
      <c r="A15" s="1"/>
      <c r="B15" s="1"/>
      <c r="C15" s="6" t="s">
        <v>32</v>
      </c>
      <c r="D15" s="67" t="s">
        <v>63</v>
      </c>
      <c r="E15" s="68"/>
      <c r="F15" s="68"/>
      <c r="G15" s="69"/>
      <c r="H15" s="1"/>
      <c r="I15" s="1"/>
    </row>
    <row r="16" spans="1:9" x14ac:dyDescent="0.45">
      <c r="A16" s="1"/>
      <c r="B16" s="1"/>
      <c r="C16" s="6" t="s">
        <v>33</v>
      </c>
      <c r="D16" s="67" t="s">
        <v>95</v>
      </c>
      <c r="E16" s="68"/>
      <c r="F16" s="68"/>
      <c r="G16" s="69"/>
      <c r="H16" s="1"/>
      <c r="I16" s="1"/>
    </row>
    <row r="17" spans="1:9" x14ac:dyDescent="0.45">
      <c r="A17" s="1"/>
      <c r="B17" s="1"/>
      <c r="C17" s="6" t="s">
        <v>59</v>
      </c>
      <c r="D17" s="67" t="s">
        <v>96</v>
      </c>
      <c r="E17" s="68"/>
      <c r="F17" s="68"/>
      <c r="G17" s="69"/>
      <c r="H17" s="1"/>
      <c r="I17" s="1"/>
    </row>
    <row r="18" spans="1:9" x14ac:dyDescent="0.45">
      <c r="A18" s="1"/>
      <c r="B18" s="1"/>
      <c r="C18" s="6" t="s">
        <v>7</v>
      </c>
      <c r="D18" s="64" t="s">
        <v>12</v>
      </c>
      <c r="E18" s="65"/>
      <c r="F18" s="65"/>
      <c r="G18" s="66"/>
      <c r="H18" s="1"/>
      <c r="I18" s="1"/>
    </row>
    <row r="19" spans="1:9" x14ac:dyDescent="0.45">
      <c r="A19" s="1"/>
      <c r="B19" s="1"/>
      <c r="C19" s="6" t="s">
        <v>8</v>
      </c>
      <c r="D19" s="58" t="s">
        <v>97</v>
      </c>
      <c r="E19" s="59"/>
      <c r="F19" s="59"/>
      <c r="G19" s="60"/>
      <c r="H19" s="1"/>
      <c r="I19" s="1"/>
    </row>
    <row r="20" spans="1:9" x14ac:dyDescent="0.45">
      <c r="A20" s="1"/>
      <c r="B20" s="1"/>
      <c r="C20" s="6" t="s">
        <v>56</v>
      </c>
      <c r="D20" s="58" t="s">
        <v>34</v>
      </c>
      <c r="E20" s="59"/>
      <c r="F20" s="59"/>
      <c r="G20" s="60"/>
      <c r="H20" s="1"/>
      <c r="I20" s="1"/>
    </row>
    <row r="21" spans="1:9" x14ac:dyDescent="0.45">
      <c r="A21" s="1"/>
      <c r="B21" s="1"/>
      <c r="C21" s="6" t="s">
        <v>82</v>
      </c>
      <c r="D21" s="58" t="s">
        <v>41</v>
      </c>
      <c r="E21" s="59"/>
      <c r="F21" s="59"/>
      <c r="G21" s="60"/>
      <c r="H21" s="1"/>
      <c r="I21" s="1"/>
    </row>
    <row r="22" spans="1:9" x14ac:dyDescent="0.45">
      <c r="A22" s="1"/>
      <c r="B22" s="1"/>
      <c r="C22" s="6" t="s">
        <v>83</v>
      </c>
      <c r="D22" s="58" t="s">
        <v>42</v>
      </c>
      <c r="E22" s="59"/>
      <c r="F22" s="59"/>
      <c r="G22" s="60"/>
      <c r="H22" s="1"/>
      <c r="I22" s="1"/>
    </row>
    <row r="23" spans="1:9" x14ac:dyDescent="0.45">
      <c r="A23" s="1"/>
      <c r="B23" s="1"/>
      <c r="C23" s="6" t="s">
        <v>84</v>
      </c>
      <c r="D23" s="58" t="s">
        <v>64</v>
      </c>
      <c r="E23" s="59"/>
      <c r="F23" s="59"/>
      <c r="G23" s="60"/>
      <c r="H23" s="1"/>
      <c r="I23" s="1"/>
    </row>
    <row r="24" spans="1:9" x14ac:dyDescent="0.45">
      <c r="A24" s="1"/>
      <c r="B24" s="1"/>
      <c r="C24" s="6" t="s">
        <v>9</v>
      </c>
      <c r="D24" s="58" t="s">
        <v>35</v>
      </c>
      <c r="E24" s="59"/>
      <c r="F24" s="59"/>
      <c r="G24" s="60"/>
      <c r="H24" s="1"/>
      <c r="I24" s="1"/>
    </row>
    <row r="25" spans="1:9" x14ac:dyDescent="0.45">
      <c r="A25" s="1"/>
      <c r="B25" s="1"/>
      <c r="C25" s="6" t="s">
        <v>50</v>
      </c>
      <c r="D25" s="61" t="s">
        <v>57</v>
      </c>
      <c r="E25" s="62"/>
      <c r="F25" s="62"/>
      <c r="G25" s="63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QqK2rNIeORyc9nUVrE3FUTeOn1I2cNMN7w49WtOs7vCtH7sLf5Dwsf20MD6Vx09w9nRvllnU5r2k7OP7G2CzA==" saltValue="qepVWPrY3u4yAb/4J02Qcg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6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+iX8VTCCNECqpVpem0lY8+ohv0GxggwHDSa/uHeZkHyfv/3qFXBm73aaKYGP+0J86Cj8CSFd9ZwJNAlFNzT3dQ==" saltValue="sKW4J0dFgpfEcAVMXbQvOg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4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4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4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zoLrPxUQiodiSPtDN+8AOO+QRijQQx2rXQVBs1eZHogxG6BCz+K1O+ByPK2mKNe153j86S38PHMlYtuGb2jy/Q==" saltValue="D6BOY63LYXfOcjrw1FSOrA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91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BDiZoIqRLMZ3kr38VukRa2wlM+DKOSIghZ3rugqtb8t08OcGagQ5xj6w+C7vqMhJY3nlFnESIFLBvdoP8JZN5g==" saltValue="SWxABDlxWDzTABj9mm4Lzg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92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45">
      <c r="A10" s="1"/>
      <c r="B10" s="20" t="s">
        <v>134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45">
      <c r="A16" s="1"/>
      <c r="B16" s="20" t="s">
        <v>134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45">
      <c r="A22" s="1"/>
      <c r="B22" s="20" t="s">
        <v>134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45">
      <c r="A28" s="1"/>
      <c r="B28" s="20" t="s">
        <v>134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WA8N5KauGn3hpU0Yf2/cuKtSNFKSkM6qrIEm87J0Vg1ntYu2xlj8JW+BhAMO6hnzyfZZheZ/w19SdVZ/R8wT6A==" saltValue="3FzW0AmxIOlGYJBBiCrGPg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5" t="s">
        <v>93</v>
      </c>
      <c r="C3" s="75"/>
      <c r="D3" s="1"/>
    </row>
    <row r="4" spans="1:4" ht="25.5" customHeight="1" x14ac:dyDescent="0.45">
      <c r="A4" s="1"/>
      <c r="B4" s="75"/>
      <c r="C4" s="75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6" t="s">
        <v>14</v>
      </c>
      <c r="C8" s="57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6"/>
      <c r="C15" s="57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6" t="s">
        <v>54</v>
      </c>
      <c r="C18" s="57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tZhpuaviyadM8jaEmCCvFYfExnkAVgISb0wlZvkCYHqd68O7sISV2aWtJIvxTHDSfCwuyAXH7Rac9z5PEiRSIg==" saltValue="CWyzuKqwPRU8rcOdtr1Hyg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13</v>
      </c>
      <c r="C8" s="42"/>
      <c r="D8" s="42"/>
      <c r="E8" s="42"/>
      <c r="F8" s="42"/>
      <c r="G8" s="1"/>
    </row>
    <row r="9" spans="1:7" x14ac:dyDescent="0.45">
      <c r="A9" s="1"/>
      <c r="B9" s="39" t="s">
        <v>24</v>
      </c>
      <c r="C9" s="39"/>
      <c r="D9" s="39"/>
      <c r="E9" s="7">
        <f>'Fane 3. Omkostninger i ØR2021'!E16</f>
        <v>9525665.9442712292</v>
      </c>
      <c r="F9" s="39" t="s">
        <v>3</v>
      </c>
      <c r="G9" s="1"/>
    </row>
    <row r="10" spans="1:7" ht="17.100000000000001" customHeight="1" x14ac:dyDescent="0.45">
      <c r="A10" s="1"/>
      <c r="B10" s="33" t="s">
        <v>121</v>
      </c>
      <c r="C10" s="39"/>
      <c r="D10" s="39"/>
      <c r="E10" s="7">
        <f>'Fane 3. Omkostninger i ØR2021'!E13*(1-'Fane 10. Nøgletal'!C19)*(1+'Fane 10. Nøgletal'!C13)</f>
        <v>0</v>
      </c>
      <c r="F10" s="39" t="s">
        <v>3</v>
      </c>
      <c r="G10" s="1"/>
    </row>
    <row r="11" spans="1:7" ht="17.100000000000001" customHeight="1" x14ac:dyDescent="0.45">
      <c r="A11" s="1"/>
      <c r="B11" s="29" t="s">
        <v>60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9" t="s">
        <v>62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9" t="s">
        <v>65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9" t="s">
        <v>18</v>
      </c>
      <c r="C14" s="39"/>
      <c r="D14" s="39"/>
      <c r="E14" s="8">
        <f>E9*'Fane 10. Nøgletal'!C13+SUM(E11:E13)*'Fane 10. Nøgletal'!C14</f>
        <v>116213.12452010901</v>
      </c>
      <c r="F14" s="39" t="s">
        <v>3</v>
      </c>
      <c r="G14" s="1"/>
    </row>
    <row r="15" spans="1:7" ht="17.100000000000001" customHeight="1" x14ac:dyDescent="0.45">
      <c r="A15" s="1"/>
      <c r="B15" s="29" t="s">
        <v>54</v>
      </c>
      <c r="C15" s="39"/>
      <c r="D15" s="39"/>
      <c r="E15" s="8">
        <f>-SUM(E9,E11:E14)*'Fane 10. Nøgletal'!C19</f>
        <v>-163911.94416945273</v>
      </c>
      <c r="F15" s="39" t="s">
        <v>3</v>
      </c>
      <c r="G15" s="1"/>
    </row>
    <row r="16" spans="1:7" ht="15" customHeight="1" x14ac:dyDescent="0.45">
      <c r="A16" s="1"/>
      <c r="B16" s="53" t="s">
        <v>20</v>
      </c>
      <c r="C16" s="41"/>
      <c r="D16" s="41"/>
      <c r="E16" s="9">
        <f>SUM(E9,E11:E15)</f>
        <v>9477967.1246218849</v>
      </c>
      <c r="F16" s="43" t="s">
        <v>3</v>
      </c>
      <c r="G16" s="1"/>
    </row>
    <row r="17" spans="1:7" ht="15" customHeight="1" x14ac:dyDescent="0.45">
      <c r="A17" s="1"/>
      <c r="B17" s="42" t="s">
        <v>12</v>
      </c>
      <c r="C17" s="42"/>
      <c r="D17" s="42"/>
      <c r="E17" s="42"/>
      <c r="F17" s="42"/>
      <c r="G17" s="1"/>
    </row>
    <row r="18" spans="1:7" ht="15" customHeight="1" x14ac:dyDescent="0.45">
      <c r="A18" s="1"/>
      <c r="B18" s="43" t="s">
        <v>12</v>
      </c>
      <c r="C18" s="43"/>
      <c r="D18" s="43"/>
      <c r="E18" s="9">
        <f>'Fane 4. Ikke-påvirkelige omk.'!C14</f>
        <v>2929030.2978583341</v>
      </c>
      <c r="F18" s="43" t="s">
        <v>3</v>
      </c>
      <c r="G18" s="1"/>
    </row>
    <row r="19" spans="1:7" ht="15" customHeight="1" x14ac:dyDescent="0.45">
      <c r="A19" s="1"/>
      <c r="B19" s="42" t="s">
        <v>42</v>
      </c>
      <c r="C19" s="42"/>
      <c r="D19" s="42"/>
      <c r="E19" s="42"/>
      <c r="F19" s="42"/>
      <c r="G19" s="1"/>
    </row>
    <row r="20" spans="1:7" ht="15" customHeight="1" x14ac:dyDescent="0.45">
      <c r="A20" s="1"/>
      <c r="B20" s="29" t="s">
        <v>39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9" t="s">
        <v>40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53" t="s">
        <v>43</v>
      </c>
      <c r="C22" s="41"/>
      <c r="D22" s="41"/>
      <c r="E22" s="9">
        <f>SUM(E20:E21)</f>
        <v>0</v>
      </c>
      <c r="F22" s="43" t="s">
        <v>3</v>
      </c>
      <c r="G22" s="1"/>
    </row>
    <row r="23" spans="1:7" x14ac:dyDescent="0.45">
      <c r="A23" s="1"/>
      <c r="B23" s="42" t="s">
        <v>85</v>
      </c>
      <c r="C23" s="42"/>
      <c r="D23" s="42"/>
      <c r="E23" s="42"/>
      <c r="F23" s="42"/>
      <c r="G23" s="1"/>
    </row>
    <row r="24" spans="1:7" x14ac:dyDescent="0.45">
      <c r="A24" s="1"/>
      <c r="B24" s="53" t="s">
        <v>31</v>
      </c>
      <c r="C24" s="41"/>
      <c r="D24" s="41"/>
      <c r="E24" s="9">
        <v>1431945.4624365466</v>
      </c>
      <c r="F24" s="43" t="s">
        <v>3</v>
      </c>
      <c r="G24" s="1"/>
    </row>
    <row r="25" spans="1:7" x14ac:dyDescent="0.45">
      <c r="A25" s="1"/>
      <c r="B25" s="53" t="s">
        <v>86</v>
      </c>
      <c r="C25" s="41"/>
      <c r="D25" s="41"/>
      <c r="E25" s="9">
        <f>'Fane 5. Kontrol af ØR2020'!E29</f>
        <v>0</v>
      </c>
      <c r="F25" s="43" t="s">
        <v>3</v>
      </c>
      <c r="G25" s="1"/>
    </row>
    <row r="26" spans="1:7" x14ac:dyDescent="0.45">
      <c r="A26" s="1"/>
      <c r="B26" s="42" t="s">
        <v>148</v>
      </c>
      <c r="C26" s="42"/>
      <c r="D26" s="42"/>
      <c r="E26" s="42"/>
      <c r="F26" s="42"/>
      <c r="G26" s="1"/>
    </row>
    <row r="27" spans="1:7" x14ac:dyDescent="0.45">
      <c r="A27" s="1"/>
      <c r="B27" s="43" t="s">
        <v>149</v>
      </c>
      <c r="C27" s="43"/>
      <c r="D27" s="43"/>
      <c r="E27" s="9">
        <v>0</v>
      </c>
      <c r="F27" s="43" t="s">
        <v>3</v>
      </c>
      <c r="G27" s="1"/>
    </row>
    <row r="28" spans="1:7" x14ac:dyDescent="0.45">
      <c r="A28" s="1"/>
      <c r="B28" s="42" t="s">
        <v>26</v>
      </c>
      <c r="C28" s="42"/>
      <c r="D28" s="42"/>
      <c r="E28" s="10">
        <f>SUM(E16,E18,E22,E24,E25,E27)</f>
        <v>13838942.884916764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bSAMXBQ9bYY0636PARKfSRdYjPsw2R/nfooHCyxoKs5dXcJzGcYYi8kPf7rPDamNlpYJsh8JO7cklTKXYAGk1g==" saltValue="Aq+wVOAXLnSNs3f7cLwwFQ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13</v>
      </c>
      <c r="C8" s="42"/>
      <c r="D8" s="42"/>
      <c r="E8" s="42"/>
      <c r="F8" s="42"/>
      <c r="G8" s="1"/>
    </row>
    <row r="9" spans="1:7" ht="15" customHeight="1" x14ac:dyDescent="0.45">
      <c r="A9" s="1"/>
      <c r="B9" s="39" t="s">
        <v>66</v>
      </c>
      <c r="C9" s="39"/>
      <c r="D9" s="39"/>
      <c r="E9" s="7">
        <f>'Fane 2.1. Økonomisk ramme 2022'!E16</f>
        <v>9477967.1246218849</v>
      </c>
      <c r="F9" s="39" t="s">
        <v>3</v>
      </c>
      <c r="G9" s="1"/>
    </row>
    <row r="10" spans="1:7" ht="15" customHeight="1" x14ac:dyDescent="0.45">
      <c r="A10" s="1"/>
      <c r="B10" s="29" t="s">
        <v>62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40" t="s">
        <v>18</v>
      </c>
      <c r="C11" s="39"/>
      <c r="D11" s="39"/>
      <c r="E11" s="8">
        <f>SUM(E9:E10)*'Fane 10. Nøgletal'!C14</f>
        <v>31277.291511252221</v>
      </c>
      <c r="F11" s="39" t="s">
        <v>3</v>
      </c>
      <c r="G11" s="1"/>
    </row>
    <row r="12" spans="1:7" ht="15" customHeight="1" x14ac:dyDescent="0.45">
      <c r="A12" s="1"/>
      <c r="B12" s="40" t="s">
        <v>54</v>
      </c>
      <c r="C12" s="39"/>
      <c r="D12" s="39"/>
      <c r="E12" s="8">
        <f>-SUM(E9:E11)*'Fane 10. Nøgletal'!C19</f>
        <v>-161657.15507426334</v>
      </c>
      <c r="F12" s="39" t="s">
        <v>3</v>
      </c>
      <c r="G12" s="1"/>
    </row>
    <row r="13" spans="1:7" ht="15" customHeight="1" x14ac:dyDescent="0.45">
      <c r="A13" s="1"/>
      <c r="B13" s="41" t="s">
        <v>20</v>
      </c>
      <c r="C13" s="41"/>
      <c r="D13" s="41"/>
      <c r="E13" s="9">
        <f>SUM(E9:E12)</f>
        <v>9347587.2610588744</v>
      </c>
      <c r="F13" s="43" t="s">
        <v>3</v>
      </c>
      <c r="G13" s="1"/>
    </row>
    <row r="14" spans="1:7" x14ac:dyDescent="0.45">
      <c r="A14" s="1"/>
      <c r="B14" s="42" t="s">
        <v>12</v>
      </c>
      <c r="C14" s="42"/>
      <c r="D14" s="42"/>
      <c r="E14" s="42"/>
      <c r="F14" s="42"/>
      <c r="G14" s="1"/>
    </row>
    <row r="15" spans="1:7" ht="15" customHeight="1" x14ac:dyDescent="0.45">
      <c r="A15" s="1"/>
      <c r="B15" s="43" t="s">
        <v>12</v>
      </c>
      <c r="C15" s="43"/>
      <c r="D15" s="43"/>
      <c r="E15" s="9">
        <f>'Fane 4. Ikke-påvirkelige omk.'!C14*(1+'Fane 10. Nøgletal'!C14)</f>
        <v>2938696.097841267</v>
      </c>
      <c r="F15" s="43" t="s">
        <v>3</v>
      </c>
      <c r="G15" s="1"/>
    </row>
    <row r="16" spans="1:7" ht="15" customHeight="1" x14ac:dyDescent="0.45">
      <c r="A16" s="1"/>
      <c r="B16" s="42" t="s">
        <v>42</v>
      </c>
      <c r="C16" s="42"/>
      <c r="D16" s="42"/>
      <c r="E16" s="42"/>
      <c r="F16" s="42"/>
      <c r="G16" s="1"/>
    </row>
    <row r="17" spans="1:7" ht="15" customHeight="1" x14ac:dyDescent="0.45">
      <c r="A17" s="1"/>
      <c r="B17" s="29" t="s">
        <v>39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9" t="s">
        <v>40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53" t="s">
        <v>43</v>
      </c>
      <c r="C19" s="41"/>
      <c r="D19" s="41"/>
      <c r="E19" s="9">
        <f>SUM(E17:E18)</f>
        <v>0</v>
      </c>
      <c r="F19" s="43" t="s">
        <v>3</v>
      </c>
      <c r="G19" s="1"/>
    </row>
    <row r="20" spans="1:7" x14ac:dyDescent="0.45">
      <c r="A20" s="1"/>
      <c r="B20" s="42" t="s">
        <v>85</v>
      </c>
      <c r="C20" s="42"/>
      <c r="D20" s="42"/>
      <c r="E20" s="42"/>
      <c r="F20" s="42"/>
      <c r="G20" s="1"/>
    </row>
    <row r="21" spans="1:7" x14ac:dyDescent="0.45">
      <c r="A21" s="1"/>
      <c r="B21" s="43" t="s">
        <v>150</v>
      </c>
      <c r="C21" s="43"/>
      <c r="D21" s="43"/>
      <c r="E21" s="9">
        <f>'Fane 5. Kontrol af ØR2020'!E35</f>
        <v>0</v>
      </c>
      <c r="F21" s="43" t="s">
        <v>3</v>
      </c>
      <c r="G21" s="1"/>
    </row>
    <row r="22" spans="1:7" x14ac:dyDescent="0.45">
      <c r="A22" s="1"/>
      <c r="B22" s="42" t="s">
        <v>47</v>
      </c>
      <c r="C22" s="42"/>
      <c r="D22" s="42"/>
      <c r="E22" s="10">
        <f>SUM(E13,E15,E19,E21)</f>
        <v>12286283.358900141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hE6chc9b8ve/+ISK3OwIKWccCDd11tsAuaqJO6ujM9mdyYP8nSyEPPfrbvtfTmT2Mz6e3/EyqnShHWZgTs7s1Q==" saltValue="wPhloOAeki/iMvylbVjfh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45">
      <c r="A8" s="1"/>
      <c r="B8" s="39" t="s">
        <v>67</v>
      </c>
      <c r="C8" s="39"/>
      <c r="D8" s="39"/>
      <c r="E8" s="7">
        <f>'Fane 2.2. Økonomisk ramme 2023'!E13</f>
        <v>9347587.2610588744</v>
      </c>
      <c r="F8" s="39" t="s">
        <v>3</v>
      </c>
      <c r="G8" s="1"/>
    </row>
    <row r="9" spans="1:7" ht="15" customHeight="1" x14ac:dyDescent="0.45">
      <c r="A9" s="1"/>
      <c r="B9" s="39" t="s">
        <v>62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40" t="s">
        <v>18</v>
      </c>
      <c r="C10" s="39"/>
      <c r="D10" s="39"/>
      <c r="E10" s="8">
        <f>SUM(E8:E9)*'Fane 10. Nøgletal'!C14</f>
        <v>30847.037961494287</v>
      </c>
      <c r="F10" s="39" t="s">
        <v>3</v>
      </c>
      <c r="G10" s="1"/>
    </row>
    <row r="11" spans="1:7" ht="15" customHeight="1" x14ac:dyDescent="0.45">
      <c r="A11" s="1"/>
      <c r="B11" s="40" t="s">
        <v>54</v>
      </c>
      <c r="C11" s="39"/>
      <c r="D11" s="39"/>
      <c r="E11" s="8">
        <f>-SUM(E8:E10)*'Fane 10. Nøgletal'!C19</f>
        <v>-159433.38308334627</v>
      </c>
      <c r="F11" s="39" t="s">
        <v>3</v>
      </c>
      <c r="G11" s="1"/>
    </row>
    <row r="12" spans="1:7" x14ac:dyDescent="0.45">
      <c r="A12" s="1"/>
      <c r="B12" s="41" t="s">
        <v>20</v>
      </c>
      <c r="C12" s="41"/>
      <c r="D12" s="41"/>
      <c r="E12" s="9">
        <f>SUM(E8:E11)</f>
        <v>9219000.9159370232</v>
      </c>
      <c r="F12" s="43" t="s">
        <v>3</v>
      </c>
      <c r="G12" s="1"/>
    </row>
    <row r="13" spans="1:7" x14ac:dyDescent="0.4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45">
      <c r="A14" s="1"/>
      <c r="B14" s="43" t="s">
        <v>12</v>
      </c>
      <c r="C14" s="43"/>
      <c r="D14" s="43"/>
      <c r="E14" s="9">
        <f>'Fane 4. Ikke-påvirkelige omk.'!C14*(1+'Fane 10. Nøgletal'!C14)^2</f>
        <v>2948393.7949641431</v>
      </c>
      <c r="F14" s="43" t="s">
        <v>3</v>
      </c>
      <c r="G14" s="1"/>
    </row>
    <row r="15" spans="1:7" ht="15" customHeight="1" x14ac:dyDescent="0.4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45">
      <c r="A16" s="1"/>
      <c r="B16" s="29" t="s">
        <v>39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9" t="s">
        <v>40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53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4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45">
      <c r="A20" s="1"/>
      <c r="B20" s="43" t="s">
        <v>86</v>
      </c>
      <c r="C20" s="43"/>
      <c r="D20" s="43"/>
      <c r="E20" s="9">
        <f>'Fane 5. Kontrol af ØR2020'!E35</f>
        <v>0</v>
      </c>
      <c r="F20" s="43" t="s">
        <v>3</v>
      </c>
      <c r="G20" s="1"/>
    </row>
    <row r="21" spans="1:7" x14ac:dyDescent="0.45">
      <c r="A21" s="1"/>
      <c r="B21" s="42" t="s">
        <v>68</v>
      </c>
      <c r="C21" s="42"/>
      <c r="D21" s="42"/>
      <c r="E21" s="10">
        <f>SUM(E12,E14,E18,E20)</f>
        <v>12167394.710901167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g7KftCoj4Y29PG//tj7ZYHc5RHuXE02mgqoiiERgo7BJH3NTY6GRRZ2AW7E55kMfc2S2iY2FxHNFqrjvWKGopQ==" saltValue="zm/gRMAZVdxGFo4zdD2QB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45">
      <c r="A8" s="1"/>
      <c r="B8" s="39" t="s">
        <v>103</v>
      </c>
      <c r="C8" s="39"/>
      <c r="D8" s="39"/>
      <c r="E8" s="7">
        <f>'Fane 2.3. Økonomisk ramme 2024'!E12</f>
        <v>9219000.9159370232</v>
      </c>
      <c r="F8" s="39" t="s">
        <v>3</v>
      </c>
      <c r="G8" s="1"/>
    </row>
    <row r="9" spans="1:7" ht="15" customHeight="1" x14ac:dyDescent="0.45">
      <c r="A9" s="1"/>
      <c r="B9" s="39" t="s">
        <v>62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40" t="s">
        <v>18</v>
      </c>
      <c r="C10" s="39"/>
      <c r="D10" s="39"/>
      <c r="E10" s="8">
        <f>SUM(E8:E9)*'Fane 10. Nøgletal'!C14</f>
        <v>30422.703022592177</v>
      </c>
      <c r="F10" s="39" t="s">
        <v>3</v>
      </c>
      <c r="G10" s="1"/>
    </row>
    <row r="11" spans="1:7" ht="15" customHeight="1" x14ac:dyDescent="0.45">
      <c r="A11" s="1"/>
      <c r="B11" s="40" t="s">
        <v>54</v>
      </c>
      <c r="C11" s="39"/>
      <c r="D11" s="39"/>
      <c r="E11" s="8">
        <f>-SUM(E8:E10)*'Fane 10. Nøgletal'!C19</f>
        <v>-157240.20152231347</v>
      </c>
      <c r="F11" s="39" t="s">
        <v>3</v>
      </c>
      <c r="G11" s="1"/>
    </row>
    <row r="12" spans="1:7" x14ac:dyDescent="0.45">
      <c r="A12" s="1"/>
      <c r="B12" s="41" t="s">
        <v>20</v>
      </c>
      <c r="C12" s="41"/>
      <c r="D12" s="41"/>
      <c r="E12" s="9">
        <f>SUM(E8:E11)</f>
        <v>9092183.4174373019</v>
      </c>
      <c r="F12" s="43" t="s">
        <v>3</v>
      </c>
      <c r="G12" s="1"/>
    </row>
    <row r="13" spans="1:7" x14ac:dyDescent="0.4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45">
      <c r="A14" s="1"/>
      <c r="B14" s="43" t="s">
        <v>12</v>
      </c>
      <c r="C14" s="43"/>
      <c r="D14" s="43"/>
      <c r="E14" s="9">
        <f>'Fane 4. Ikke-påvirkelige omk.'!C14*(1+'Fane 10. Nøgletal'!C14)^3</f>
        <v>2958123.4944875254</v>
      </c>
      <c r="F14" s="43" t="s">
        <v>3</v>
      </c>
      <c r="G14" s="1"/>
    </row>
    <row r="15" spans="1:7" ht="15" customHeight="1" x14ac:dyDescent="0.4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45">
      <c r="A16" s="1"/>
      <c r="B16" s="29" t="s">
        <v>39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9" t="s">
        <v>40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53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4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45">
      <c r="A20" s="1"/>
      <c r="B20" s="43" t="s">
        <v>86</v>
      </c>
      <c r="C20" s="43"/>
      <c r="D20" s="43"/>
      <c r="E20" s="9">
        <f>'Fane 5. Kontrol af ØR2020'!E35</f>
        <v>0</v>
      </c>
      <c r="F20" s="43" t="s">
        <v>3</v>
      </c>
      <c r="G20" s="1"/>
    </row>
    <row r="21" spans="1:7" x14ac:dyDescent="0.45">
      <c r="A21" s="1"/>
      <c r="B21" s="42" t="s">
        <v>104</v>
      </c>
      <c r="C21" s="42"/>
      <c r="D21" s="42"/>
      <c r="E21" s="10">
        <f>SUM(E12,E14,E18,E20)</f>
        <v>12050306.911924828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PsAYtPf3KRnWOh/eVVywT8rxCeBWVJgAvfDH8DkhEsFyzdPzo7pGpReRUvkzAExkjMo3DJJRsyLu3DUhaGu6nQ==" saltValue="DZOEWccycJAjtD4gFxIl8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105</v>
      </c>
      <c r="C3" s="75"/>
      <c r="D3" s="75"/>
      <c r="E3" s="75"/>
      <c r="F3" s="75"/>
      <c r="G3" s="1"/>
    </row>
    <row r="4" spans="1:7" ht="29.2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126</v>
      </c>
      <c r="C8" s="42"/>
      <c r="D8" s="42"/>
      <c r="E8" s="42"/>
      <c r="F8" s="42"/>
      <c r="G8" s="1"/>
    </row>
    <row r="9" spans="1:7" x14ac:dyDescent="0.45">
      <c r="A9" s="1"/>
      <c r="B9" s="76" t="s">
        <v>23</v>
      </c>
      <c r="C9" s="76"/>
      <c r="D9" s="76"/>
      <c r="E9" s="7">
        <v>9487049.4123638105</v>
      </c>
      <c r="F9" s="39" t="s">
        <v>3</v>
      </c>
      <c r="G9" s="1"/>
    </row>
    <row r="10" spans="1:7" x14ac:dyDescent="0.45">
      <c r="A10" s="1"/>
      <c r="B10" s="77" t="s">
        <v>128</v>
      </c>
      <c r="C10" s="77"/>
      <c r="D10" s="77"/>
      <c r="E10" s="7">
        <v>86555.400648093957</v>
      </c>
      <c r="F10" s="39" t="s">
        <v>3</v>
      </c>
      <c r="G10" s="1"/>
    </row>
    <row r="11" spans="1:7" x14ac:dyDescent="0.45">
      <c r="A11" s="1"/>
      <c r="B11" s="77" t="s">
        <v>60</v>
      </c>
      <c r="C11" s="77"/>
      <c r="D11" s="77"/>
      <c r="E11" s="7">
        <v>0</v>
      </c>
      <c r="F11" s="39" t="s">
        <v>3</v>
      </c>
      <c r="G11" s="1"/>
    </row>
    <row r="12" spans="1:7" x14ac:dyDescent="0.45">
      <c r="A12" s="1"/>
      <c r="B12" s="77" t="s">
        <v>65</v>
      </c>
      <c r="C12" s="77"/>
      <c r="D12" s="77"/>
      <c r="E12" s="7">
        <v>0</v>
      </c>
      <c r="F12" s="39" t="s">
        <v>3</v>
      </c>
      <c r="G12" s="1"/>
    </row>
    <row r="13" spans="1:7" x14ac:dyDescent="0.45">
      <c r="A13" s="1"/>
      <c r="B13" s="77" t="s">
        <v>61</v>
      </c>
      <c r="C13" s="77"/>
      <c r="D13" s="77"/>
      <c r="E13" s="8">
        <v>0</v>
      </c>
      <c r="F13" s="39" t="s">
        <v>3</v>
      </c>
      <c r="G13" s="1"/>
    </row>
    <row r="14" spans="1:7" x14ac:dyDescent="0.45">
      <c r="A14" s="1"/>
      <c r="B14" s="77" t="s">
        <v>18</v>
      </c>
      <c r="C14" s="77"/>
      <c r="D14" s="77"/>
      <c r="E14" s="8">
        <f>SUM(E9:E13)*'Fane 10. Nøgletal'!C13</f>
        <v>116797.97871874525</v>
      </c>
      <c r="F14" s="39" t="s">
        <v>3</v>
      </c>
      <c r="G14" s="1"/>
    </row>
    <row r="15" spans="1:7" x14ac:dyDescent="0.45">
      <c r="A15" s="1"/>
      <c r="B15" s="77" t="s">
        <v>54</v>
      </c>
      <c r="C15" s="77"/>
      <c r="D15" s="77"/>
      <c r="E15" s="8">
        <f>-SUM(E9:E14)*'Fane 10. Nøgletal'!C19</f>
        <v>-164736.84745942106</v>
      </c>
      <c r="F15" s="39" t="s">
        <v>3</v>
      </c>
      <c r="G15" s="1"/>
    </row>
    <row r="16" spans="1:7" x14ac:dyDescent="0.45">
      <c r="A16" s="1"/>
      <c r="B16" s="79" t="s">
        <v>20</v>
      </c>
      <c r="C16" s="79"/>
      <c r="D16" s="79"/>
      <c r="E16" s="9">
        <f>SUM(E9:E15)</f>
        <v>9525665.9442712292</v>
      </c>
      <c r="F16" s="43" t="s">
        <v>3</v>
      </c>
      <c r="G16" s="1"/>
    </row>
    <row r="17" spans="1:7" x14ac:dyDescent="0.45">
      <c r="A17" s="1"/>
      <c r="B17" s="80" t="s">
        <v>12</v>
      </c>
      <c r="C17" s="80"/>
      <c r="D17" s="80"/>
      <c r="E17" s="42"/>
      <c r="F17" s="42"/>
      <c r="G17" s="1"/>
    </row>
    <row r="18" spans="1:7" x14ac:dyDescent="0.45">
      <c r="A18" s="1"/>
      <c r="B18" s="81" t="s">
        <v>12</v>
      </c>
      <c r="C18" s="81"/>
      <c r="D18" s="81"/>
      <c r="E18" s="9">
        <v>4370991.7764249938</v>
      </c>
      <c r="F18" s="43" t="s">
        <v>3</v>
      </c>
      <c r="G18" s="1"/>
    </row>
    <row r="19" spans="1:7" ht="15.4" customHeight="1" x14ac:dyDescent="0.45">
      <c r="A19" s="1"/>
      <c r="B19" s="42" t="s">
        <v>42</v>
      </c>
      <c r="C19" s="42"/>
      <c r="D19" s="42"/>
      <c r="E19" s="42"/>
      <c r="F19" s="42"/>
      <c r="G19" s="1"/>
    </row>
    <row r="20" spans="1:7" ht="15.75" customHeight="1" x14ac:dyDescent="0.45">
      <c r="A20" s="1"/>
      <c r="B20" s="82" t="s">
        <v>39</v>
      </c>
      <c r="C20" s="83"/>
      <c r="D20" s="84"/>
      <c r="E20" s="37">
        <v>0</v>
      </c>
      <c r="F20" s="32" t="s">
        <v>3</v>
      </c>
      <c r="G20" s="1"/>
    </row>
    <row r="21" spans="1:7" x14ac:dyDescent="0.45">
      <c r="A21" s="1"/>
      <c r="B21" s="82" t="s">
        <v>40</v>
      </c>
      <c r="C21" s="83"/>
      <c r="D21" s="84"/>
      <c r="E21" s="37">
        <v>0</v>
      </c>
      <c r="F21" s="32" t="s">
        <v>3</v>
      </c>
      <c r="G21" s="1"/>
    </row>
    <row r="22" spans="1:7" x14ac:dyDescent="0.45">
      <c r="A22" s="1"/>
      <c r="B22" s="85" t="s">
        <v>43</v>
      </c>
      <c r="C22" s="86"/>
      <c r="D22" s="87"/>
      <c r="E22" s="9">
        <v>0</v>
      </c>
      <c r="F22" s="9" t="s">
        <v>3</v>
      </c>
      <c r="G22" s="1"/>
    </row>
    <row r="23" spans="1:7" ht="15.75" customHeight="1" x14ac:dyDescent="0.45">
      <c r="A23" s="1"/>
      <c r="B23" s="42" t="s">
        <v>85</v>
      </c>
      <c r="C23" s="42"/>
      <c r="D23" s="42"/>
      <c r="E23" s="42"/>
      <c r="F23" s="42"/>
      <c r="G23" s="1"/>
    </row>
    <row r="24" spans="1:7" x14ac:dyDescent="0.45">
      <c r="A24" s="1"/>
      <c r="B24" s="53" t="s">
        <v>31</v>
      </c>
      <c r="C24" s="41"/>
      <c r="D24" s="41"/>
      <c r="E24" s="9">
        <v>1431945.4624365466</v>
      </c>
      <c r="F24" s="43" t="s">
        <v>3</v>
      </c>
      <c r="G24" s="1"/>
    </row>
    <row r="25" spans="1:7" x14ac:dyDescent="0.45">
      <c r="A25" s="1"/>
      <c r="B25" s="53" t="s">
        <v>86</v>
      </c>
      <c r="C25" s="41"/>
      <c r="D25" s="41"/>
      <c r="E25" s="9">
        <v>0</v>
      </c>
      <c r="F25" s="43" t="s">
        <v>3</v>
      </c>
      <c r="G25" s="1"/>
    </row>
    <row r="26" spans="1:7" ht="15" customHeight="1" x14ac:dyDescent="0.45">
      <c r="A26" s="1"/>
      <c r="B26" s="42" t="s">
        <v>25</v>
      </c>
      <c r="C26" s="42"/>
      <c r="D26" s="42"/>
      <c r="E26" s="10">
        <f>E16+E18+E22+E24+E25</f>
        <v>15328603.183132768</v>
      </c>
      <c r="F26" s="11" t="s">
        <v>3</v>
      </c>
      <c r="G26" s="1"/>
    </row>
    <row r="27" spans="1:7" ht="27" customHeight="1" x14ac:dyDescent="0.45">
      <c r="A27" s="1"/>
      <c r="B27" s="78" t="s">
        <v>120</v>
      </c>
      <c r="C27" s="78"/>
      <c r="D27" s="78"/>
      <c r="E27" s="78"/>
      <c r="F27" s="78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ieYMZxv4SbhHjULOBxHbe/rvlaLpSFnPbM++QwSTPImP3xhtB1Fpdo9o/OYneZpEVBYBtbIzLENivoVXWOHV0A==" saltValue="TXDKLUEFaoH0Prcky7SbzA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3" t="s">
        <v>106</v>
      </c>
      <c r="D9" s="43"/>
      <c r="E9" s="1"/>
      <c r="F9" s="1"/>
    </row>
    <row r="10" spans="1:6" x14ac:dyDescent="0.45">
      <c r="A10" s="1"/>
      <c r="B10" s="28" t="s">
        <v>131</v>
      </c>
      <c r="C10" s="8">
        <v>2864571</v>
      </c>
      <c r="D10" s="12" t="s">
        <v>3</v>
      </c>
      <c r="E10" s="1"/>
      <c r="F10" s="1"/>
    </row>
    <row r="11" spans="1:6" x14ac:dyDescent="0.45">
      <c r="A11" s="1"/>
      <c r="B11" s="28" t="s">
        <v>132</v>
      </c>
      <c r="C11" s="8">
        <v>12084</v>
      </c>
      <c r="D11" s="12" t="s">
        <v>3</v>
      </c>
      <c r="E11" s="1"/>
      <c r="F11" s="1"/>
    </row>
    <row r="12" spans="1:6" x14ac:dyDescent="0.45">
      <c r="A12" s="1"/>
      <c r="B12" s="28" t="s">
        <v>133</v>
      </c>
      <c r="C12" s="8">
        <v>33138.97</v>
      </c>
      <c r="D12" s="12" t="s">
        <v>3</v>
      </c>
      <c r="E12" s="1"/>
      <c r="F12" s="1"/>
    </row>
    <row r="13" spans="1:6" x14ac:dyDescent="0.45">
      <c r="A13" s="1"/>
      <c r="B13" s="56" t="s">
        <v>108</v>
      </c>
      <c r="C13" s="10">
        <f>SUM(C10:C12)</f>
        <v>2909793.97</v>
      </c>
      <c r="D13" s="11" t="s">
        <v>3</v>
      </c>
      <c r="E13" s="1"/>
      <c r="F13" s="1"/>
    </row>
    <row r="14" spans="1:6" x14ac:dyDescent="0.45">
      <c r="A14" s="1"/>
      <c r="B14" s="56" t="s">
        <v>109</v>
      </c>
      <c r="C14" s="10">
        <f>C13*(1+'Fane 10. Nøgletal'!C14)^2</f>
        <v>2929030.2978583341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nKMs3IjGR8dFLe3j2871Cz/OO8KhxmiT1u9J8Fh9IA4KlA1TXnQaDN4XALC7ir3A54eoiMHpPmZlOZ7qDWnKhg==" saltValue="TM+wiqWdO2zlDug0BSxYGQ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5" t="s">
        <v>152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38"/>
      <c r="C6" s="38"/>
      <c r="D6" s="38"/>
      <c r="E6" s="38"/>
      <c r="F6" s="38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135</v>
      </c>
      <c r="C8" s="89"/>
      <c r="D8" s="89"/>
      <c r="E8" s="89"/>
      <c r="F8" s="90"/>
      <c r="G8" s="1"/>
    </row>
    <row r="9" spans="1:7" x14ac:dyDescent="0.45">
      <c r="A9" s="1"/>
      <c r="B9" s="91" t="s">
        <v>136</v>
      </c>
      <c r="C9" s="92"/>
      <c r="D9" s="93"/>
      <c r="E9" s="8">
        <v>3813588.8220000006</v>
      </c>
      <c r="F9" s="12" t="s">
        <v>3</v>
      </c>
      <c r="G9" s="1"/>
    </row>
    <row r="10" spans="1:7" x14ac:dyDescent="0.45">
      <c r="A10" s="1"/>
      <c r="B10" s="91" t="s">
        <v>137</v>
      </c>
      <c r="C10" s="92"/>
      <c r="D10" s="93"/>
      <c r="E10" s="8">
        <v>294868.55192473158</v>
      </c>
      <c r="F10" s="12" t="s">
        <v>3</v>
      </c>
      <c r="G10" s="1"/>
    </row>
    <row r="11" spans="1:7" x14ac:dyDescent="0.45">
      <c r="A11" s="1"/>
      <c r="B11" s="91" t="s">
        <v>138</v>
      </c>
      <c r="C11" s="92"/>
      <c r="D11" s="93"/>
      <c r="E11" s="8">
        <v>-43546.03585786745</v>
      </c>
      <c r="F11" s="12" t="s">
        <v>3</v>
      </c>
      <c r="G11" s="1"/>
    </row>
    <row r="12" spans="1:7" x14ac:dyDescent="0.45">
      <c r="A12" s="1"/>
      <c r="B12" s="56"/>
      <c r="C12" s="22"/>
      <c r="D12" s="22"/>
      <c r="E12" s="22"/>
      <c r="F12" s="57"/>
      <c r="G12" s="1"/>
    </row>
    <row r="13" spans="1:7" ht="51.75" customHeight="1" x14ac:dyDescent="0.45">
      <c r="A13" s="1"/>
      <c r="B13" s="94" t="s">
        <v>139</v>
      </c>
      <c r="C13" s="95"/>
      <c r="D13" s="95"/>
      <c r="E13" s="95"/>
      <c r="F13" s="96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140</v>
      </c>
      <c r="C15" s="89"/>
      <c r="D15" s="89"/>
      <c r="E15" s="89"/>
      <c r="F15" s="90"/>
      <c r="G15" s="1"/>
    </row>
    <row r="16" spans="1:7" x14ac:dyDescent="0.45">
      <c r="A16" s="1"/>
      <c r="B16" s="91" t="s">
        <v>141</v>
      </c>
      <c r="C16" s="92"/>
      <c r="D16" s="93"/>
      <c r="E16" s="8">
        <v>0</v>
      </c>
      <c r="F16" s="12" t="s">
        <v>3</v>
      </c>
      <c r="G16" s="1"/>
    </row>
    <row r="17" spans="1:7" x14ac:dyDescent="0.45">
      <c r="A17" s="1"/>
      <c r="B17" s="91" t="s">
        <v>142</v>
      </c>
      <c r="C17" s="92"/>
      <c r="D17" s="93"/>
      <c r="E17" s="8">
        <v>0</v>
      </c>
      <c r="F17" s="12" t="s">
        <v>3</v>
      </c>
      <c r="G17" s="1"/>
    </row>
    <row r="18" spans="1:7" x14ac:dyDescent="0.45">
      <c r="A18" s="1"/>
      <c r="B18" s="56"/>
      <c r="C18" s="22"/>
      <c r="D18" s="22"/>
      <c r="E18" s="22"/>
      <c r="F18" s="57"/>
      <c r="G18" s="1"/>
    </row>
    <row r="19" spans="1:7" ht="29.25" customHeight="1" x14ac:dyDescent="0.45">
      <c r="A19" s="1"/>
      <c r="B19" s="94" t="s">
        <v>143</v>
      </c>
      <c r="C19" s="95"/>
      <c r="D19" s="95"/>
      <c r="E19" s="95"/>
      <c r="F19" s="96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7" t="s">
        <v>122</v>
      </c>
      <c r="C21" s="48"/>
      <c r="D21" s="48"/>
      <c r="E21" s="48"/>
      <c r="F21" s="49"/>
      <c r="G21" s="1"/>
    </row>
    <row r="22" spans="1:7" x14ac:dyDescent="0.45">
      <c r="A22" s="1"/>
      <c r="B22" s="50" t="s">
        <v>123</v>
      </c>
      <c r="C22" s="51"/>
      <c r="D22" s="52"/>
      <c r="E22" s="8">
        <v>13775902.018059261</v>
      </c>
      <c r="F22" s="12" t="s">
        <v>3</v>
      </c>
      <c r="G22" s="1"/>
    </row>
    <row r="23" spans="1:7" x14ac:dyDescent="0.45">
      <c r="A23" s="1"/>
      <c r="B23" s="50" t="s">
        <v>124</v>
      </c>
      <c r="C23" s="51"/>
      <c r="D23" s="52"/>
      <c r="E23" s="8">
        <v>12346351.66</v>
      </c>
      <c r="F23" s="12" t="s">
        <v>3</v>
      </c>
      <c r="G23" s="1"/>
    </row>
    <row r="24" spans="1:7" x14ac:dyDescent="0.45">
      <c r="A24" s="1"/>
      <c r="B24" s="50" t="s">
        <v>30</v>
      </c>
      <c r="C24" s="51"/>
      <c r="D24" s="52"/>
      <c r="E24" s="8">
        <v>0</v>
      </c>
      <c r="F24" s="12" t="s">
        <v>3</v>
      </c>
      <c r="G24" s="1"/>
    </row>
    <row r="25" spans="1:7" x14ac:dyDescent="0.45">
      <c r="A25" s="1"/>
      <c r="B25" s="44" t="s">
        <v>125</v>
      </c>
      <c r="C25" s="45"/>
      <c r="D25" s="46"/>
      <c r="E25" s="34">
        <f>E22-(E23-E24)</f>
        <v>1429550.358059261</v>
      </c>
      <c r="F25" s="15" t="s">
        <v>3</v>
      </c>
      <c r="G25" s="1"/>
    </row>
    <row r="26" spans="1:7" x14ac:dyDescent="0.45">
      <c r="A26" s="1"/>
      <c r="B26" s="56"/>
      <c r="C26" s="22"/>
      <c r="D26" s="22"/>
      <c r="E26" s="22"/>
      <c r="F26" s="57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144</v>
      </c>
      <c r="C28" s="89"/>
      <c r="D28" s="89"/>
      <c r="E28" s="89"/>
      <c r="F28" s="90"/>
      <c r="G28" s="1"/>
    </row>
    <row r="29" spans="1:7" x14ac:dyDescent="0.45">
      <c r="A29" s="1"/>
      <c r="B29" s="85" t="s">
        <v>145</v>
      </c>
      <c r="C29" s="86"/>
      <c r="D29" s="87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146</v>
      </c>
      <c r="C32" s="89"/>
      <c r="D32" s="89"/>
      <c r="E32" s="89"/>
      <c r="F32" s="90"/>
      <c r="G32" s="1"/>
    </row>
    <row r="33" spans="1:7" x14ac:dyDescent="0.45">
      <c r="A33" s="1"/>
      <c r="B33" s="101" t="s">
        <v>85</v>
      </c>
      <c r="C33" s="102"/>
      <c r="D33" s="103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101" t="s">
        <v>55</v>
      </c>
      <c r="C34" s="102"/>
      <c r="D34" s="103"/>
      <c r="E34" s="8">
        <v>4</v>
      </c>
      <c r="F34" s="12" t="s">
        <v>19</v>
      </c>
      <c r="G34" s="1"/>
    </row>
    <row r="35" spans="1:7" x14ac:dyDescent="0.45">
      <c r="A35" s="1"/>
      <c r="B35" s="100" t="s">
        <v>147</v>
      </c>
      <c r="C35" s="100"/>
      <c r="D35" s="100"/>
      <c r="E35" s="9">
        <f>E33/E34</f>
        <v>0</v>
      </c>
      <c r="F35" s="15" t="s">
        <v>3</v>
      </c>
      <c r="G35" s="1"/>
    </row>
    <row r="36" spans="1:7" x14ac:dyDescent="0.45">
      <c r="A36" s="1"/>
      <c r="B36" s="97"/>
      <c r="C36" s="98"/>
      <c r="D36" s="98"/>
      <c r="E36" s="98"/>
      <c r="F36" s="9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sK/QV5AJf+vTwCcMqkzrvvXzMeVAtx5FdDUYfhn5mx9J6iQIhfPOI8KpNOEZtSt1rA1rl3DsAlVM0RXvmyegHQ==" saltValue="7DTH71s0XNJYR26UxTqOkA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5:D35"/>
    <mergeCell ref="B34:D34"/>
    <mergeCell ref="B33:D33"/>
    <mergeCell ref="B32:F32"/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3" t="s">
        <v>2</v>
      </c>
      <c r="F9" s="43" t="s">
        <v>11</v>
      </c>
      <c r="G9" s="43" t="s">
        <v>27</v>
      </c>
      <c r="H9" s="55"/>
      <c r="I9" s="1"/>
    </row>
    <row r="10" spans="1:9" x14ac:dyDescent="0.45">
      <c r="A10" s="1"/>
      <c r="B10" s="35" t="s">
        <v>151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JJgC0C3svjHbXUXBltkOMaZSY8yTshtH2mkBVY0i34KEPcbmZPTOou/BEl+8KYbl8n6AGJreAVfznlXIWgrrYw==" saltValue="BR0Lc2luTkE/BbDu1ilK3Q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2021-08-19T00:26:14Z</dcterms:modified>
</cp:coreProperties>
</file>