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ALSNÆS SPILDEVAND AS (S035)\ØR2024\"/>
    </mc:Choice>
  </mc:AlternateContent>
  <xr:revisionPtr revIDLastSave="0" documentId="13_ncr:1_{4090EEA9-5430-4015-A919-DDBAFC9890F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<sst xmlns="http://schemas.openxmlformats.org/spreadsheetml/2006/main" count="656" uniqueCount="292">
  <si>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</si>
  <si>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</si>
  <si>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</si>
  <si>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</si>
  <si>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</si>
  <si>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</si>
  <si>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</si>
  <si>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</si>
  <si>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</si>
  <si>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</si>
  <si>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</si>
  <si>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</si>
  <si>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</si>
  <si>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</si>
  <si>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</si>
  <si>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</si>
  <si>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</si>
  <si>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</si>
  <si>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</si>
  <si>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</si>
  <si>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</si>
  <si>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</si>
  <si>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</si>
  <si>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</si>
  <si>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</si>
  <si>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</si>
  <si>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</si>
  <si>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</si>
  <si>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</si>
  <si>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</si>
  <si>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</si>
  <si>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</si>
  <si>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</si>
  <si>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</si>
  <si>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</si>
  <si>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</si>
  <si>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</si>
  <si>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</si>
  <si>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</si>
  <si>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</si>
  <si>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</si>
  <si>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</si>
  <si>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</si>
  <si>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</si>
  <si>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</si>
  <si>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</si>
  <si>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</si>
  <si>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</si>
  <si>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</si>
  <si>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</si>
  <si>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</si>
  <si>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</si>
  <si>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</si>
  <si>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</si>
  <si>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</si>
  <si>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</si>
  <si>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</si>
  <si>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</si>
  <si>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</si>
  <si>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</si>
  <si>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</si>
  <si>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</si>
  <si>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</si>
  <si>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</si>
  <si>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</si>
  <si>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</si>
  <si>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</si>
  <si>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</si>
  <si>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</si>
  <si>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</si>
  <si>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</si>
  <si>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</si>
  <si>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</si>
  <si>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</si>
  <si>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</si>
  <si>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</si>
  <si>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</si>
  <si>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</si>
  <si>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</si>
  <si>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</si>
  <si>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</si>
  <si>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</si>
  <si>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</si>
  <si>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</si>
  <si>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</si>
  <si>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</si>
  <si>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</si>
  <si>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</si>
  <si>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</si>
  <si>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</si>
  <si>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</si>
  <si>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</si>
  <si>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</si>
  <si>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</si>
  <si>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</si>
  <si>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</si>
  <si>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</si>
  <si>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</si>
  <si>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</si>
  <si>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</si>
  <si>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</si>
  <si>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</si>
  <si>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</si>
  <si>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</si>
  <si>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</si>
  <si>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</si>
  <si>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</si>
  <si>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</si>
  <si>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</si>
  <si>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</si>
  <si>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</si>
  <si>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</si>
  <si>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</si>
  <si>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</si>
  <si>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</si>
  <si>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</si>
  <si>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</si>
  <si>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</si>
  <si>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</si>
  <si>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</si>
  <si>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</si>
  <si>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</si>
  <si>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</si>
  <si>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</si>
  <si>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</si>
  <si>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</si>
  <si>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</si>
  <si>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</si>
  <si>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</si>
  <si>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</si>
  <si>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</si>
  <si>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</si>
  <si>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</si>
  <si>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</si>
  <si>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</si>
  <si>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</si>
  <si>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</si>
  <si>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</si>
  <si>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</si>
  <si>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</si>
  <si>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</si>
  <si>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</si>
  <si>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</si>
  <si>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</si>
  <si>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</si>
  <si>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</si>
  <si>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</si>
  <si>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</si>
  <si>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</si>
  <si>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</si>
  <si>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</si>
  <si>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</si>
  <si>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</si>
  <si>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</si>
  <si>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</si>
  <si>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</si>
  <si>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</si>
  <si>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</si>
  <si>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</si>
  <si>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</si>
  <si>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</si>
  <si>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</si>
  <si>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</si>
  <si>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</si>
  <si>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</si>
  <si>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</si>
  <si>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</si>
  <si>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</si>
  <si>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</si>
  <si>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</si>
  <si>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</si>
  <si>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</si>
  <si>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</si>
  <si>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</si>
  <si>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</si>
  <si>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</si>
  <si>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</si>
  <si>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</si>
  <si>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</si>
  <si>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</si>
  <si>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</si>
  <si>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</si>
  <si>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</si>
  <si>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</si>
  <si>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</si>
  <si>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</si>
  <si>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</si>
  <si>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</si>
  <si>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</si>
  <si>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</si>
  <si>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</si>
  <si>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</si>
  <si>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</si>
  <si>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</si>
  <si>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</si>
  <si>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</si>
  <si>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</si>
  <si>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</si>
  <si>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</si>
  <si>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</si>
  <si>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</si>
  <si>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</si>
  <si>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</si>
  <si>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</si>
  <si>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</si>
  <si>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</si>
  <si>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</si>
  <si>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</si>
  <si>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</si>
  <si>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</si>
  <si>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</si>
  <si>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</si>
  <si>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</si>
  <si>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</si>
  <si>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</si>
  <si>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</si>
  <si>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</si>
  <si>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</si>
  <si>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</si>
  <si>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</si>
  <si>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</si>
  <si>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</si>
  <si>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</si>
  <si>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</si>
  <si>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</si>
  <si>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</si>
  <si>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</si>
  <si>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</si>
  <si>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</si>
  <si>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</si>
  <si>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</si>
  <si>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</si>
  <si>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</si>
  <si>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</si>
  <si>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</si>
  <si>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</si>
  <si>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</si>
  <si>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</si>
  <si>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</si>
  <si>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</si>
  <si>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</si>
  <si>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</si>
  <si>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</si>
  <si>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</si>
  <si>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</si>
  <si>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</si>
  <si>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</si>
  <si>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</si>
  <si>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</si>
  <si>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</si>
  <si>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</si>
  <si>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</si>
  <si>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</si>
  <si>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</si>
  <si>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</si>
  <si>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</si>
  <si>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</si>
  <si>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</si>
  <si>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</si>
  <si>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</si>
  <si>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</si>
  <si>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</si>
  <si>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</si>
  <si>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</si>
  <si>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</si>
  <si>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</si>
  <si>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</si>
  <si>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</si>
  <si>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</si>
  <si>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</si>
  <si>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</si>
  <si>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</si>
  <si>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</si>
  <si>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</si>
  <si>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</si>
  <si>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291006</t>
  </si>
  <si>
    <t>Projekt 291013</t>
  </si>
  <si>
    <t>Projekt 291020</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</si>
  <si>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</si>
  <si>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</si>
  <si>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</si>
  <si>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</si>
  <si>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</si>
  <si>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</si>
  <si>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</si>
  <si>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</si>
  <si>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</si>
  <si>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</si>
  <si>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</si>
  <si>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</si>
  <si>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</si>
  <si>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Køb af ydelser og produkter fra andre vandselskaber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</si>
</sst>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6" t="s">
        <v>252</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07" t="s">
        <v>196</v>
      </c>
      <c r="E13" s="108"/>
      <c r="F13" s="108"/>
      <c r="G13" s="109"/>
      <c r="H13" s="5"/>
      <c r="I13" s="1"/>
    </row>
    <row r="14" spans="1:9" x14ac:dyDescent="0.25">
      <c r="A14" s="1"/>
      <c r="B14" s="1"/>
      <c r="C14" s="6" t="s">
        <v>16</v>
      </c>
      <c r="D14" s="98" t="s">
        <v>197</v>
      </c>
      <c r="E14" s="99"/>
      <c r="F14" s="99"/>
      <c r="G14" s="100"/>
      <c r="H14" s="5"/>
      <c r="I14" s="1"/>
    </row>
    <row r="15" spans="1:9" x14ac:dyDescent="0.25">
      <c r="A15" s="1"/>
      <c r="B15" s="1"/>
      <c r="C15" s="6" t="s">
        <v>31</v>
      </c>
      <c r="D15" s="98" t="s">
        <v>262</v>
      </c>
      <c r="E15" s="99"/>
      <c r="F15" s="99"/>
      <c r="G15" s="100"/>
      <c r="H15" s="5"/>
      <c r="I15" s="1"/>
    </row>
    <row r="16" spans="1:9" x14ac:dyDescent="0.25">
      <c r="A16" s="1"/>
      <c r="B16" s="1"/>
      <c r="C16" s="6" t="s">
        <v>32</v>
      </c>
      <c r="D16" s="98" t="s">
        <v>263</v>
      </c>
      <c r="E16" s="99"/>
      <c r="F16" s="99"/>
      <c r="G16" s="100"/>
      <c r="H16" s="5"/>
      <c r="I16" s="1"/>
    </row>
    <row r="17" spans="1:9" x14ac:dyDescent="0.25">
      <c r="A17" s="1"/>
      <c r="B17" s="1"/>
      <c r="C17" s="6" t="s">
        <v>101</v>
      </c>
      <c r="D17" s="98" t="s">
        <v>198</v>
      </c>
      <c r="E17" s="99"/>
      <c r="F17" s="99"/>
      <c r="G17" s="100"/>
      <c r="H17" s="5"/>
      <c r="I17" s="1"/>
    </row>
    <row r="18" spans="1:9" x14ac:dyDescent="0.25">
      <c r="A18" s="1"/>
      <c r="B18" s="1"/>
      <c r="C18" s="6" t="s">
        <v>88</v>
      </c>
      <c r="D18" s="95" t="s">
        <v>79</v>
      </c>
      <c r="E18" s="96"/>
      <c r="F18" s="96"/>
      <c r="G18" s="97"/>
      <c r="H18" s="5"/>
      <c r="I18" s="1"/>
    </row>
    <row r="19" spans="1:9" x14ac:dyDescent="0.25">
      <c r="A19" s="1"/>
      <c r="B19" s="1"/>
      <c r="C19" s="6" t="s">
        <v>89</v>
      </c>
      <c r="D19" s="95" t="s">
        <v>80</v>
      </c>
      <c r="E19" s="96"/>
      <c r="F19" s="96"/>
      <c r="G19" s="97"/>
      <c r="H19" s="5"/>
      <c r="I19" s="1"/>
    </row>
    <row r="20" spans="1:9" x14ac:dyDescent="0.25">
      <c r="A20" s="1"/>
      <c r="B20" s="1"/>
      <c r="C20" s="6" t="s">
        <v>7</v>
      </c>
      <c r="D20" s="95" t="s">
        <v>10</v>
      </c>
      <c r="E20" s="96"/>
      <c r="F20" s="96"/>
      <c r="G20" s="97"/>
      <c r="H20" s="5"/>
      <c r="I20" s="1"/>
    </row>
    <row r="21" spans="1:9" x14ac:dyDescent="0.25">
      <c r="A21" s="1"/>
      <c r="B21" s="1"/>
      <c r="C21" s="6" t="s">
        <v>90</v>
      </c>
      <c r="D21" s="102" t="s">
        <v>12</v>
      </c>
      <c r="E21" s="103"/>
      <c r="F21" s="103"/>
      <c r="G21" s="104"/>
      <c r="H21" s="5"/>
      <c r="I21" s="1"/>
    </row>
    <row r="22" spans="1:9" x14ac:dyDescent="0.25">
      <c r="A22" s="1"/>
      <c r="B22" s="1"/>
      <c r="C22" s="6" t="s">
        <v>71</v>
      </c>
      <c r="D22" s="89" t="s">
        <v>199</v>
      </c>
      <c r="E22" s="90"/>
      <c r="F22" s="90"/>
      <c r="G22" s="91"/>
      <c r="H22" s="5"/>
      <c r="I22" s="1"/>
    </row>
    <row r="23" spans="1:9" x14ac:dyDescent="0.25">
      <c r="A23" s="1"/>
      <c r="B23" s="1"/>
      <c r="C23" s="6" t="s">
        <v>8</v>
      </c>
      <c r="D23" s="89" t="s">
        <v>181</v>
      </c>
      <c r="E23" s="90"/>
      <c r="F23" s="90"/>
      <c r="G23" s="91"/>
      <c r="H23" s="5"/>
      <c r="I23" s="1"/>
    </row>
    <row r="24" spans="1:9" x14ac:dyDescent="0.25">
      <c r="A24" s="1"/>
      <c r="B24" s="1"/>
      <c r="C24" s="6" t="s">
        <v>9</v>
      </c>
      <c r="D24" s="89" t="s">
        <v>200</v>
      </c>
      <c r="E24" s="90"/>
      <c r="F24" s="90"/>
      <c r="G24" s="91"/>
      <c r="H24" s="5"/>
      <c r="I24" s="1"/>
    </row>
    <row r="25" spans="1:9" x14ac:dyDescent="0.25">
      <c r="A25" s="1"/>
      <c r="B25" s="1"/>
      <c r="C25" s="6" t="s">
        <v>166</v>
      </c>
      <c r="D25" s="89" t="s">
        <v>160</v>
      </c>
      <c r="E25" s="90"/>
      <c r="F25" s="90"/>
      <c r="G25" s="91"/>
      <c r="H25" s="1"/>
      <c r="I25" s="1"/>
    </row>
    <row r="26" spans="1:9" x14ac:dyDescent="0.25">
      <c r="A26" s="1"/>
      <c r="B26" s="1"/>
      <c r="C26" s="6" t="s">
        <v>167</v>
      </c>
      <c r="D26" s="89" t="s">
        <v>72</v>
      </c>
      <c r="E26" s="90"/>
      <c r="F26" s="90"/>
      <c r="G26" s="91"/>
      <c r="H26" s="1"/>
      <c r="I26" s="1"/>
    </row>
    <row r="27" spans="1:9" x14ac:dyDescent="0.25">
      <c r="A27" s="1"/>
      <c r="B27" s="1"/>
      <c r="C27" s="6" t="s">
        <v>168</v>
      </c>
      <c r="D27" s="89" t="s">
        <v>73</v>
      </c>
      <c r="E27" s="90"/>
      <c r="F27" s="90"/>
      <c r="G27" s="91"/>
      <c r="H27" s="1"/>
      <c r="I27" s="1"/>
    </row>
    <row r="28" spans="1:9" x14ac:dyDescent="0.25">
      <c r="A28" s="1"/>
      <c r="B28" s="1"/>
      <c r="C28" s="6" t="s">
        <v>15</v>
      </c>
      <c r="D28" s="89" t="s">
        <v>74</v>
      </c>
      <c r="E28" s="90"/>
      <c r="F28" s="90"/>
      <c r="G28" s="91"/>
      <c r="H28" s="1"/>
      <c r="I28" s="1"/>
    </row>
    <row r="29" spans="1:9" x14ac:dyDescent="0.25">
      <c r="A29" s="1"/>
      <c r="B29" s="1"/>
      <c r="C29" s="6" t="s">
        <v>34</v>
      </c>
      <c r="D29" s="89" t="s">
        <v>114</v>
      </c>
      <c r="E29" s="90"/>
      <c r="F29" s="90"/>
      <c r="G29" s="91"/>
      <c r="H29" s="1"/>
      <c r="I29" s="1"/>
    </row>
    <row r="30" spans="1:9" x14ac:dyDescent="0.25">
      <c r="A30" s="1"/>
      <c r="B30" s="1"/>
      <c r="C30" s="6" t="s">
        <v>35</v>
      </c>
      <c r="D30" s="89" t="s">
        <v>33</v>
      </c>
      <c r="E30" s="90"/>
      <c r="F30" s="90"/>
      <c r="G30" s="91"/>
      <c r="H30" s="1"/>
      <c r="I30" s="1"/>
    </row>
    <row r="31" spans="1:9" x14ac:dyDescent="0.25">
      <c r="A31" s="1"/>
      <c r="B31" s="1"/>
      <c r="C31" s="6" t="s">
        <v>169</v>
      </c>
      <c r="D31" s="92" t="s">
        <v>87</v>
      </c>
      <c r="E31" s="93"/>
      <c r="F31" s="93"/>
      <c r="G31" s="9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wH0AsfdWe67pxUSIFa8KC/4ex98hc6ClZUfBXbNNFn6ZwxZDbVdaE8do57+58+zuMCeP83FQnMvt963SV56eIA==" saltValue="o65/7LjGnKImLStyFfAKA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41.5703125"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4" t="s">
        <v>224</v>
      </c>
      <c r="C8" s="115"/>
      <c r="D8" s="116"/>
      <c r="E8" s="1"/>
      <c r="F8" s="1"/>
    </row>
    <row r="9" spans="1:6" ht="15" customHeight="1" x14ac:dyDescent="0.25">
      <c r="A9" s="1"/>
      <c r="B9" s="27" t="s">
        <v>29</v>
      </c>
      <c r="C9" s="50" t="s">
        <v>225</v>
      </c>
      <c r="D9" s="11"/>
      <c r="E9" s="1"/>
      <c r="F9" s="1"/>
    </row>
    <row r="10" spans="1:6" ht="15" customHeight="1" x14ac:dyDescent="0.25">
      <c r="A10" s="1"/>
      <c r="B10" s="81" t="s">
        <v>272</v>
      </c>
      <c r="C10" s="9">
        <v>1141042</v>
      </c>
      <c r="D10" s="14" t="s">
        <v>3</v>
      </c>
      <c r="E10" s="1"/>
      <c r="F10" s="1"/>
    </row>
    <row r="11" spans="1:6" ht="15" customHeight="1" x14ac:dyDescent="0.25">
      <c r="A11" s="1"/>
      <c r="B11" s="81" t="s">
        <v>273</v>
      </c>
      <c r="C11" s="9">
        <v>82237</v>
      </c>
      <c r="D11" s="14" t="s">
        <v>3</v>
      </c>
      <c r="E11" s="1"/>
      <c r="F11" s="1"/>
    </row>
    <row r="12" spans="1:6" ht="26.25" x14ac:dyDescent="0.25">
      <c r="A12" s="1"/>
      <c r="B12" s="29" t="s">
        <v>291</v>
      </c>
      <c r="C12" s="9">
        <v>281571</v>
      </c>
      <c r="D12" s="14" t="s">
        <v>3</v>
      </c>
      <c r="E12" s="1"/>
      <c r="F12" s="1"/>
    </row>
    <row r="13" spans="1:6" x14ac:dyDescent="0.25">
      <c r="A13" s="1"/>
      <c r="B13" s="81" t="s">
        <v>274</v>
      </c>
      <c r="C13" s="9">
        <v>729016</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2233866</v>
      </c>
      <c r="D20" s="13" t="s">
        <v>3</v>
      </c>
      <c r="E20" s="1"/>
      <c r="F20" s="1"/>
    </row>
    <row r="21" spans="1:6" x14ac:dyDescent="0.25">
      <c r="A21" s="1"/>
      <c r="B21" s="33" t="s">
        <v>227</v>
      </c>
      <c r="C21" s="12">
        <f>C20*(1+'Fane 15. Nøgletal'!C16)^2</f>
        <v>2609442.85252224</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4" t="s">
        <v>99</v>
      </c>
      <c r="C24" s="115"/>
      <c r="D24" s="116"/>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4"/>
      <c r="C29" s="115"/>
      <c r="D29" s="116"/>
      <c r="E29" s="1"/>
      <c r="F29" s="1"/>
    </row>
    <row r="30" spans="1:6" x14ac:dyDescent="0.25">
      <c r="A30" s="1"/>
      <c r="B30" s="1"/>
      <c r="C30" s="1"/>
      <c r="D30" s="1"/>
      <c r="E30" s="1"/>
      <c r="F30" s="1"/>
    </row>
    <row r="31" spans="1:6" x14ac:dyDescent="0.25">
      <c r="A31" s="1"/>
      <c r="B31" s="1"/>
      <c r="C31" s="1"/>
      <c r="D31" s="1"/>
      <c r="E31" s="1"/>
      <c r="F31" s="1"/>
    </row>
    <row r="32" spans="1:6" x14ac:dyDescent="0.25">
      <c r="A32" s="1"/>
      <c r="B32" s="114" t="s">
        <v>81</v>
      </c>
      <c r="C32" s="115"/>
      <c r="D32" s="116"/>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4"/>
      <c r="C37" s="115"/>
      <c r="D37" s="116"/>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o3qd1ZBqr7XEKil0LfG3Iw+bLJL4MfeLuwVHdkBiE+dmsL3Q32FtMzNecEdf9Ujwa3vnaotcCorpfghfSnGTNg==" saltValue="x6shBYec1xPqZj23OrXhY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A246-332C-4BA7-92F6-FD40F700DCC8}">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4" t="s">
        <v>137</v>
      </c>
      <c r="C8" s="115"/>
      <c r="D8" s="115"/>
      <c r="E8" s="115"/>
      <c r="F8" s="116"/>
      <c r="G8" s="1"/>
    </row>
    <row r="9" spans="1:7" ht="15" customHeight="1" x14ac:dyDescent="0.25">
      <c r="A9" s="1"/>
      <c r="B9" s="117" t="s">
        <v>279</v>
      </c>
      <c r="C9" s="118"/>
      <c r="D9" s="119"/>
      <c r="E9" s="9">
        <v>7836759</v>
      </c>
      <c r="F9" s="14" t="s">
        <v>3</v>
      </c>
      <c r="G9" s="1"/>
    </row>
    <row r="10" spans="1:7" ht="15" customHeight="1" x14ac:dyDescent="0.25">
      <c r="A10" s="1"/>
      <c r="B10" s="117" t="s">
        <v>143</v>
      </c>
      <c r="C10" s="118"/>
      <c r="D10" s="119"/>
      <c r="E10" s="9">
        <v>-8839336</v>
      </c>
      <c r="F10" s="14" t="s">
        <v>3</v>
      </c>
      <c r="G10" s="1"/>
    </row>
    <row r="11" spans="1:7" ht="15" customHeight="1" x14ac:dyDescent="0.25">
      <c r="A11" s="1"/>
      <c r="B11" s="117" t="s">
        <v>280</v>
      </c>
      <c r="C11" s="118"/>
      <c r="D11" s="119"/>
      <c r="E11" s="9">
        <v>-1400460</v>
      </c>
      <c r="F11" s="14" t="s">
        <v>3</v>
      </c>
      <c r="G11" s="1"/>
    </row>
    <row r="12" spans="1:7" x14ac:dyDescent="0.25">
      <c r="A12" s="1"/>
      <c r="B12" s="33"/>
      <c r="C12" s="28"/>
      <c r="D12" s="28"/>
      <c r="E12" s="28"/>
      <c r="F12" s="19"/>
      <c r="G12" s="1"/>
    </row>
    <row r="13" spans="1:7" ht="42" customHeight="1" x14ac:dyDescent="0.25">
      <c r="A13" s="1"/>
      <c r="B13" s="126" t="s">
        <v>281</v>
      </c>
      <c r="C13" s="127"/>
      <c r="D13" s="127"/>
      <c r="E13" s="127"/>
      <c r="F13" s="128"/>
      <c r="G13" s="1"/>
    </row>
    <row r="14" spans="1:7" ht="15" customHeight="1" x14ac:dyDescent="0.25">
      <c r="A14" s="1"/>
      <c r="B14" s="1"/>
      <c r="C14" s="1"/>
      <c r="D14" s="1"/>
      <c r="E14" s="1"/>
      <c r="F14" s="1"/>
      <c r="G14" s="1"/>
    </row>
    <row r="15" spans="1:7" x14ac:dyDescent="0.25">
      <c r="A15" s="1"/>
      <c r="B15" s="75" t="s">
        <v>282</v>
      </c>
      <c r="C15" s="76"/>
      <c r="D15" s="76"/>
      <c r="E15" s="76"/>
      <c r="F15" s="77"/>
      <c r="G15" s="1"/>
    </row>
    <row r="16" spans="1:7" x14ac:dyDescent="0.25">
      <c r="A16" s="1"/>
      <c r="B16" s="78" t="s">
        <v>283</v>
      </c>
      <c r="C16" s="79"/>
      <c r="D16" s="80"/>
      <c r="E16" s="9">
        <f>IF(E11&lt;0,E11,0)</f>
        <v>-1400460</v>
      </c>
      <c r="F16" s="14" t="s">
        <v>3</v>
      </c>
      <c r="G16" s="1"/>
    </row>
    <row r="17" spans="1:7" x14ac:dyDescent="0.25">
      <c r="A17" s="1"/>
      <c r="B17" s="78" t="s">
        <v>284</v>
      </c>
      <c r="C17" s="79"/>
      <c r="D17" s="80"/>
      <c r="E17" s="9">
        <f>IF(SUM(E10)&gt;0,SUM(E10),0)</f>
        <v>0</v>
      </c>
      <c r="F17" s="14" t="s">
        <v>3</v>
      </c>
      <c r="G17" s="1"/>
    </row>
    <row r="18" spans="1:7" x14ac:dyDescent="0.25">
      <c r="A18" s="1"/>
      <c r="B18" s="82" t="s">
        <v>285</v>
      </c>
      <c r="C18" s="83"/>
      <c r="D18" s="84"/>
      <c r="E18" s="62">
        <f>IF(SUM(E16:E17)&gt;0,0,SUM(E16:E17))</f>
        <v>-1400460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286</v>
      </c>
      <c r="C21" s="76"/>
      <c r="D21" s="76"/>
      <c r="E21" s="76"/>
      <c r="F21" s="77"/>
      <c r="G21" s="1"/>
    </row>
    <row r="22" spans="1:7" x14ac:dyDescent="0.25">
      <c r="A22" s="1"/>
      <c r="B22" s="78" t="s">
        <v>287</v>
      </c>
      <c r="C22" s="79"/>
      <c r="D22" s="80"/>
      <c r="E22" s="9">
        <v>67157068</v>
      </c>
      <c r="F22" s="14" t="s">
        <v>3</v>
      </c>
      <c r="G22" s="1"/>
    </row>
    <row r="23" spans="1:7" x14ac:dyDescent="0.25">
      <c r="A23" s="1"/>
      <c r="B23" s="78" t="s">
        <v>288</v>
      </c>
      <c r="C23" s="79"/>
      <c r="D23" s="80"/>
      <c r="E23" s="9">
        <v>64390055</v>
      </c>
      <c r="F23" s="14" t="s">
        <v>3</v>
      </c>
      <c r="G23" s="1"/>
    </row>
    <row r="24" spans="1:7" x14ac:dyDescent="0.25">
      <c r="A24" s="1"/>
      <c r="B24" s="78" t="s">
        <v>30</v>
      </c>
      <c r="C24" s="79"/>
      <c r="D24" s="80"/>
      <c r="E24" s="9">
        <v>-20000</v>
      </c>
      <c r="F24" s="14" t="s">
        <v>3</v>
      </c>
      <c r="G24" s="1"/>
    </row>
    <row r="25" spans="1:7" x14ac:dyDescent="0.25">
      <c r="A25" s="1"/>
      <c r="B25" s="82" t="s">
        <v>289</v>
      </c>
      <c r="C25" s="83"/>
      <c r="D25" s="84"/>
      <c r="E25" s="62">
        <f>E22-E23-E24</f>
        <v>2787013</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4" t="s">
        <v>290</v>
      </c>
      <c r="C28" s="115"/>
      <c r="D28" s="115"/>
      <c r="E28" s="115"/>
      <c r="F28" s="116"/>
      <c r="G28" s="1"/>
    </row>
    <row r="29" spans="1:7" x14ac:dyDescent="0.25">
      <c r="A29" s="1"/>
      <c r="B29" s="132" t="s">
        <v>116</v>
      </c>
      <c r="C29" s="133"/>
      <c r="D29" s="134"/>
      <c r="E29" s="9">
        <f>IF(E18&lt;0,IF(E25&lt;0,SUM(E18,E25),IF(E10&gt;0,SUM(E10:E11),E18)),IF(AND(E25&lt;0,SUM(E25,E11)&lt;0),IF(E11&lt;0,E25,IF(SUM(E10:E11)&gt;0,SUM(E25,E11),IF(AND(E25&lt;0,E18=0,E11&gt;0),IF(SUM(E9:E11)&gt;0,E25+E11,E25)))),0))</f>
        <v>-1400460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-700230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cTz5KrUBMhujXO8T3h6ZibSH9m49+qERoBxT7xp/4s9M1YPmXyeCEPEAKHeEx+IQs8Xzv1ehOSL0bpeP+3qaAQ==" saltValue="xnmzCiH9tLRzo+S80v77N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4" t="s">
        <v>189</v>
      </c>
      <c r="C8" s="115"/>
      <c r="D8" s="115"/>
      <c r="E8" s="115"/>
      <c r="F8" s="115"/>
      <c r="G8" s="115"/>
      <c r="H8" s="116"/>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4" t="s">
        <v>180</v>
      </c>
      <c r="C18" s="115"/>
      <c r="D18" s="115"/>
      <c r="E18" s="115"/>
      <c r="F18" s="11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VL4EUrMN1KwMFWjq/h74P6XM9I7tOJxQmEULhZu+q1gyq3DJ2Pk4YuSBqtlbiWAkV66a8z+jw7b1ZqhavSLSIA==" saltValue="HmoBwm/Yg2QCaQnqRYd1E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228</v>
      </c>
      <c r="C9" s="115"/>
      <c r="D9" s="115"/>
      <c r="E9" s="115"/>
      <c r="F9" s="116"/>
      <c r="G9" s="1"/>
    </row>
    <row r="10" spans="1:7" x14ac:dyDescent="0.25">
      <c r="A10" s="1"/>
      <c r="B10" s="126" t="s">
        <v>82</v>
      </c>
      <c r="C10" s="127"/>
      <c r="D10" s="128"/>
      <c r="E10" s="7">
        <v>0</v>
      </c>
      <c r="F10" s="8" t="s">
        <v>3</v>
      </c>
      <c r="G10" s="1"/>
    </row>
    <row r="11" spans="1:7" x14ac:dyDescent="0.25">
      <c r="A11" s="1"/>
      <c r="B11" s="117" t="s">
        <v>229</v>
      </c>
      <c r="C11" s="118"/>
      <c r="D11" s="119"/>
      <c r="E11" s="7">
        <v>0</v>
      </c>
      <c r="F11" s="8" t="s">
        <v>3</v>
      </c>
      <c r="G11" s="1"/>
    </row>
    <row r="12" spans="1:7" x14ac:dyDescent="0.25">
      <c r="A12" s="1"/>
      <c r="B12" s="135" t="s">
        <v>83</v>
      </c>
      <c r="C12" s="136"/>
      <c r="D12" s="137"/>
      <c r="E12" s="10">
        <f>E11-E10</f>
        <v>0</v>
      </c>
      <c r="F12" s="11" t="s">
        <v>3</v>
      </c>
      <c r="G12" s="1"/>
    </row>
    <row r="13" spans="1:7" x14ac:dyDescent="0.25">
      <c r="A13" s="1"/>
      <c r="B13" s="114" t="s">
        <v>78</v>
      </c>
      <c r="C13" s="115"/>
      <c r="D13" s="115"/>
      <c r="E13" s="115"/>
      <c r="F13" s="116"/>
      <c r="G13" s="1"/>
    </row>
    <row r="14" spans="1:7" x14ac:dyDescent="0.25">
      <c r="A14" s="1"/>
      <c r="B14" s="117" t="s">
        <v>230</v>
      </c>
      <c r="C14" s="118"/>
      <c r="D14" s="119"/>
      <c r="E14" s="7">
        <v>0</v>
      </c>
      <c r="F14" s="8" t="s">
        <v>3</v>
      </c>
      <c r="G14" s="1"/>
    </row>
    <row r="15" spans="1:7" x14ac:dyDescent="0.25">
      <c r="A15" s="1"/>
      <c r="B15" s="126" t="s">
        <v>231</v>
      </c>
      <c r="C15" s="127"/>
      <c r="D15" s="128"/>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1bcT9vHOs+9JOzfiMPXL8D7QBDXnyktMc9DJ6drXYRfmkXogQZVGqNRIUKSU4bkV0mW4+uQr8252WkKCr2MsQ==" saltValue="neF1b3o4w3jOGw+zYeN6k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4" t="s">
        <v>149</v>
      </c>
      <c r="C8" s="115"/>
      <c r="D8" s="115"/>
      <c r="E8" s="115"/>
      <c r="F8" s="115"/>
      <c r="G8" s="115"/>
      <c r="H8" s="115"/>
      <c r="I8" s="115"/>
      <c r="J8" s="115"/>
      <c r="K8" s="116"/>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9">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SUmF/NhE3NooWkWTLm2Ste0BUS+Wbf8GF4EQMkPpPFkwlc2OiKnKAKKJhXBcv4bNG53dZ+MG/0MLBm7Q3726NQ==" saltValue="CiniJqOQlhsY0l09hfXJw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275</v>
      </c>
      <c r="C11" s="21">
        <v>0</v>
      </c>
      <c r="D11" s="14" t="s">
        <v>3</v>
      </c>
      <c r="E11" s="9">
        <v>37815</v>
      </c>
      <c r="F11" s="14" t="s">
        <v>3</v>
      </c>
      <c r="G11" s="1"/>
    </row>
    <row r="12" spans="1:7" x14ac:dyDescent="0.25">
      <c r="A12" s="1"/>
      <c r="B12" s="24" t="s">
        <v>276</v>
      </c>
      <c r="C12" s="21">
        <v>0</v>
      </c>
      <c r="D12" s="14" t="s">
        <v>3</v>
      </c>
      <c r="E12" s="9">
        <v>63442</v>
      </c>
      <c r="F12" s="14" t="s">
        <v>3</v>
      </c>
      <c r="G12" s="1"/>
    </row>
    <row r="13" spans="1:7" x14ac:dyDescent="0.25">
      <c r="A13" s="1"/>
      <c r="B13" s="24" t="s">
        <v>277</v>
      </c>
      <c r="C13" s="21">
        <v>84727</v>
      </c>
      <c r="D13" s="14" t="s">
        <v>3</v>
      </c>
      <c r="E13" s="9">
        <v>24588</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84727</v>
      </c>
      <c r="D19" s="13" t="s">
        <v>3</v>
      </c>
      <c r="E19" s="12">
        <f>SUM(E10:E18)</f>
        <v>125845</v>
      </c>
      <c r="F19" s="13" t="s">
        <v>3</v>
      </c>
      <c r="G19" s="1"/>
    </row>
    <row r="20" spans="1:7" x14ac:dyDescent="0.25">
      <c r="A20" s="1"/>
      <c r="B20" s="33" t="s">
        <v>233</v>
      </c>
      <c r="C20" s="12">
        <f>C19*(1+'Fane 15. Nøgletal'!C16)</f>
        <v>91572.941600000006</v>
      </c>
      <c r="D20" s="13" t="s">
        <v>3</v>
      </c>
      <c r="E20" s="12">
        <f>E19*(1+'Fane 15. Nøgletal'!C16)</f>
        <v>136013.27599999998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mNOJeLzqTbRxI/0tPqzvTRv3KI5W92PO3xAx+SsqkWwNQmJp08WlR+RkW85RK0RSOoSywNohmwuKQVU7BBFvA==" saltValue="hOU56Ie/mmqcef6HYM9tR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260</v>
      </c>
      <c r="C8" s="115"/>
      <c r="D8" s="115"/>
      <c r="E8" s="115"/>
      <c r="F8" s="116"/>
      <c r="G8" s="1"/>
    </row>
    <row r="9" spans="1:7" x14ac:dyDescent="0.25">
      <c r="A9" s="1"/>
      <c r="B9" s="86" t="s">
        <v>17</v>
      </c>
      <c r="C9" s="86" t="s">
        <v>11</v>
      </c>
      <c r="D9" s="87"/>
      <c r="E9" s="86" t="s">
        <v>28</v>
      </c>
      <c r="F9" s="32"/>
      <c r="G9" s="1"/>
    </row>
    <row r="10" spans="1:7" x14ac:dyDescent="0.25">
      <c r="A10" s="1"/>
      <c r="B10" s="24" t="s">
        <v>278</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weFVBF4CiOHsBYHaNUC2mVtfxpnZwoJ24KuV1t6bWb6XbxKMOd0FXDSIsF0/TM/qmyUmTGjM6Q7d+kRgMtIfw==" saltValue="dED1IbxONnMLWEHvjlcjW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4" t="s">
        <v>110</v>
      </c>
      <c r="C9" s="115"/>
      <c r="D9" s="115"/>
      <c r="E9" s="115"/>
      <c r="F9" s="116"/>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4" t="s">
        <v>111</v>
      </c>
      <c r="C13" s="115"/>
      <c r="D13" s="116"/>
      <c r="E13" s="12">
        <f>SUM(E10:E12)*(1+'Fane 15. Nøgletal'!C16)^2</f>
        <v>0</v>
      </c>
      <c r="F13" s="13" t="s">
        <v>3</v>
      </c>
      <c r="G13" s="1"/>
    </row>
    <row r="14" spans="1:7" x14ac:dyDescent="0.25">
      <c r="A14" s="1"/>
      <c r="B14" s="1"/>
      <c r="C14" s="1"/>
      <c r="D14" s="1"/>
      <c r="E14" s="1"/>
      <c r="F14" s="1"/>
      <c r="G14" s="1"/>
    </row>
    <row r="15" spans="1:7" ht="15" customHeight="1" x14ac:dyDescent="0.25">
      <c r="A15" s="1"/>
      <c r="B15" s="114" t="s">
        <v>124</v>
      </c>
      <c r="C15" s="115"/>
      <c r="D15" s="115"/>
      <c r="E15" s="115"/>
      <c r="F15" s="116"/>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4" t="s">
        <v>125</v>
      </c>
      <c r="C19" s="115"/>
      <c r="D19" s="116"/>
      <c r="E19" s="12">
        <f>SUM(E16:E18)*(1+'Fane 15. Nøgletal'!C16)^3</f>
        <v>0</v>
      </c>
      <c r="F19" s="13" t="s">
        <v>3</v>
      </c>
      <c r="G19" s="1"/>
    </row>
    <row r="20" spans="1:7" x14ac:dyDescent="0.25">
      <c r="A20" s="1"/>
      <c r="B20" s="1"/>
      <c r="C20" s="1"/>
      <c r="D20" s="1"/>
      <c r="E20" s="1"/>
      <c r="F20" s="1"/>
      <c r="G20" s="1"/>
    </row>
    <row r="21" spans="1:7" ht="15" customHeight="1" x14ac:dyDescent="0.25">
      <c r="A21" s="1"/>
      <c r="B21" s="114" t="s">
        <v>145</v>
      </c>
      <c r="C21" s="115"/>
      <c r="D21" s="115"/>
      <c r="E21" s="115"/>
      <c r="F21" s="116"/>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4" t="s">
        <v>146</v>
      </c>
      <c r="C25" s="115"/>
      <c r="D25" s="116"/>
      <c r="E25" s="12">
        <f>SUM(E22:E24)*(1+'Fane 15. Nøgletal'!C16)^4</f>
        <v>0</v>
      </c>
      <c r="F25" s="13" t="s">
        <v>3</v>
      </c>
      <c r="G25" s="1"/>
    </row>
    <row r="26" spans="1:7" x14ac:dyDescent="0.25">
      <c r="A26" s="1"/>
      <c r="B26" s="1"/>
      <c r="C26" s="1"/>
      <c r="D26" s="1"/>
      <c r="E26" s="1"/>
      <c r="F26" s="1"/>
      <c r="G26" s="1"/>
    </row>
    <row r="27" spans="1:7" ht="15" customHeight="1" x14ac:dyDescent="0.25">
      <c r="A27" s="1"/>
      <c r="B27" s="114" t="s">
        <v>237</v>
      </c>
      <c r="C27" s="115"/>
      <c r="D27" s="115"/>
      <c r="E27" s="115"/>
      <c r="F27" s="116"/>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4" t="s">
        <v>238</v>
      </c>
      <c r="C31" s="115"/>
      <c r="D31" s="116"/>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ed34Q8k1sdYAKUaYxxkvN3XNHmS8UVel8y8dM760Ma6Ss0BmixAhjQw+hkyin2h9HCKecHoCdBgBlQ7zCeLzA==" saltValue="71vOTjhE6ptghB0PS+5tc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112</v>
      </c>
      <c r="C8" s="115"/>
      <c r="D8" s="115"/>
      <c r="E8" s="115"/>
      <c r="F8" s="116"/>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g8YjIwvNRNtgZzp+Gz9NG0k+IpDXgRzxW0w7yYh67NcYFhkbIkqELYgAKpAraC9/nKRbfHwGTGTAodRMu6Lp2g==" saltValue="O923sWEmOWw5BiEY8g6X2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240</v>
      </c>
      <c r="C9" s="115"/>
      <c r="D9" s="115"/>
      <c r="E9" s="115"/>
      <c r="F9" s="116"/>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lO+YW11vdimr4HU7KpP6awfpJFMRsIPVejIWrSJ4PwyWcw4eyojD/2mTJaBcfhZrHD2bgG6E5UTrrMYxSSveg==" saltValue="EJOHEAaPQu72oWtYlGcDP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63425864.694439642</v>
      </c>
      <c r="D9" s="8" t="s">
        <v>3</v>
      </c>
      <c r="E9" s="1"/>
    </row>
    <row r="10" spans="1:5" ht="17.25" customHeight="1" x14ac:dyDescent="0.25">
      <c r="A10" s="1"/>
      <c r="B10" s="88" t="s">
        <v>36</v>
      </c>
      <c r="C10" s="7">
        <f>'Fane 11.1. Varige tillæg'!C20</f>
        <v>91572.941600000006</v>
      </c>
      <c r="D10" s="8" t="s">
        <v>3</v>
      </c>
      <c r="E10" s="1"/>
    </row>
    <row r="11" spans="1:5" ht="17.25" customHeight="1" x14ac:dyDescent="0.25">
      <c r="A11" s="1"/>
      <c r="B11" s="88" t="s">
        <v>37</v>
      </c>
      <c r="C11" s="9">
        <f>'Fane 11.1. Varige tillæg'!E20</f>
        <v>136013.27599999998</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5143198.833692803</v>
      </c>
      <c r="D16" s="8" t="s">
        <v>3</v>
      </c>
      <c r="E16" s="1"/>
    </row>
    <row r="17" spans="1:5" ht="17.25" customHeight="1" x14ac:dyDescent="0.25">
      <c r="A17" s="1"/>
      <c r="B17" s="88" t="s">
        <v>10</v>
      </c>
      <c r="C17" s="41">
        <f>-SUM(C9,C10:C16)*'Fane 5. Individuelt eff. krav'!G9</f>
        <v>-327912.41258876218</v>
      </c>
      <c r="D17" s="8" t="s">
        <v>3</v>
      </c>
      <c r="E17" s="1"/>
    </row>
    <row r="18" spans="1:5" ht="17.25" customHeight="1" x14ac:dyDescent="0.25">
      <c r="A18" s="1"/>
      <c r="B18" s="88" t="s">
        <v>23</v>
      </c>
      <c r="C18" s="41">
        <f>-'Fane 4.1. Gen. krav - drift'!G54</f>
        <v>-549302.61792562157</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67919434.715218067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2609442.85252224</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-700230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69828647.567740306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RWITfL1f2/OrBS6yq86eKrMWepbCub8GOBUOOuFqMoMsf9kiaDAwIv1zCjI6Nq2PS6wiczkSC2ow55y7r2jEA==" saltValue="vInzYjbMiFbY5Hu0WLSw5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w/k42zLDncb6dJgkFYtLAVhgy0HGcl3FEvA8jTtNzDS14MI416U6CaUt/Q7T8dpdi6an4cKtndoERwDjY0SG8g==" saltValue="DpzcfHtthPz2UBij1kmzY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67919434.715218067</v>
      </c>
      <c r="D9" s="8" t="s">
        <v>3</v>
      </c>
      <c r="E9" s="1"/>
    </row>
    <row r="10" spans="1:5" ht="15" customHeight="1" x14ac:dyDescent="0.25">
      <c r="A10" s="1"/>
      <c r="B10" s="26" t="s">
        <v>19</v>
      </c>
      <c r="C10" s="7">
        <f>SUM(C9:C9)*'Fane 15. Nøgletal'!C16</f>
        <v>5487890.3249896197</v>
      </c>
      <c r="D10" s="8" t="s">
        <v>3</v>
      </c>
      <c r="E10" s="1"/>
    </row>
    <row r="11" spans="1:5" ht="15" customHeight="1" x14ac:dyDescent="0.25">
      <c r="A11" s="1"/>
      <c r="B11" s="26" t="s">
        <v>10</v>
      </c>
      <c r="C11" s="9">
        <f>-SUM(C9:C10)*'Fane 5. Individuelt eff. krav'!G9</f>
        <v>-349888.73941663309</v>
      </c>
      <c r="D11" s="8" t="s">
        <v>3</v>
      </c>
      <c r="E11" s="1"/>
    </row>
    <row r="12" spans="1:5" ht="15" customHeight="1" x14ac:dyDescent="0.25">
      <c r="A12" s="1"/>
      <c r="B12" s="26" t="s">
        <v>23</v>
      </c>
      <c r="C12" s="9">
        <f>-'Fane 4.1. Gen. krav - drift'!G59</f>
        <v>-581812.54406493157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72475623.756726116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2820285.8350060368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-700230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74595679.591732159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Bu4m8HPbltYIk90195+nsQwDW305/WOXOMBC3t9rTXcxR+HnBh6ZmE6qR8mjO56I0Hif/UMRqj/CikkWGoJ5w==" saltValue="GUkKDqcHmQmBQLWuW5r0Q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72475623.756726116</v>
      </c>
      <c r="D9" s="8" t="s">
        <v>3</v>
      </c>
      <c r="E9" s="1"/>
    </row>
    <row r="10" spans="1:5" ht="15" customHeight="1" x14ac:dyDescent="0.25">
      <c r="A10" s="1"/>
      <c r="B10" s="26" t="s">
        <v>19</v>
      </c>
      <c r="C10" s="7">
        <f>SUM(C9:C9)*'Fane 15. Nøgletal'!C16</f>
        <v>5856030.3995434698</v>
      </c>
      <c r="D10" s="8" t="s">
        <v>3</v>
      </c>
      <c r="E10" s="1"/>
    </row>
    <row r="11" spans="1:5" ht="15" customHeight="1" x14ac:dyDescent="0.25">
      <c r="A11" s="1"/>
      <c r="B11" s="26" t="s">
        <v>10</v>
      </c>
      <c r="C11" s="9">
        <f>-SUM(C9:C10)*'Fane 5. Individuelt eff. krav'!G9</f>
        <v>-373360.06609891978</v>
      </c>
      <c r="D11" s="8" t="s">
        <v>3</v>
      </c>
      <c r="E11" s="1"/>
    </row>
    <row r="12" spans="1:5" ht="15" customHeight="1" x14ac:dyDescent="0.25">
      <c r="A12" s="1"/>
      <c r="B12" s="26" t="s">
        <v>23</v>
      </c>
      <c r="C12" s="9">
        <f>-'Fane 4.1. Gen. krav - drift'!G64</f>
        <v>-616246.53767287044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77342047.552497789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3048164.9304745249</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80390212.482972309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i7zrkUht2Bo8ha0MRiEr6QoIUK6QQUCdCg4moqnreF0bIs3+BsZljK4L45WQXv3KVQduF+/6qck4gJ5kJEwWQ==" saltValue="awEiaVAUTS34r6sY6yFaY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77342047.552497789</v>
      </c>
      <c r="D9" s="8" t="s">
        <v>3</v>
      </c>
      <c r="E9" s="1"/>
      <c r="F9" s="1"/>
    </row>
    <row r="10" spans="1:6" ht="15" customHeight="1" x14ac:dyDescent="0.25">
      <c r="A10" s="1"/>
      <c r="B10" s="26" t="s">
        <v>19</v>
      </c>
      <c r="C10" s="7">
        <f>SUM(C9:C9)*'Fane 15. Nøgletal'!C16</f>
        <v>6249237.4422418214</v>
      </c>
      <c r="D10" s="8" t="s">
        <v>3</v>
      </c>
      <c r="E10" s="1"/>
      <c r="F10" s="1"/>
    </row>
    <row r="11" spans="1:6" ht="15" customHeight="1" x14ac:dyDescent="0.25">
      <c r="A11" s="1"/>
      <c r="B11" s="26" t="s">
        <v>10</v>
      </c>
      <c r="C11" s="9">
        <f>-SUM(C9:C10)*'Fane 5. Individuelt eff. krav'!G9</f>
        <v>-398429.57520936808</v>
      </c>
      <c r="D11" s="8" t="s">
        <v>3</v>
      </c>
      <c r="E11" s="1"/>
      <c r="F11" s="1"/>
    </row>
    <row r="12" spans="1:6" ht="15" customHeight="1" x14ac:dyDescent="0.25">
      <c r="A12" s="1"/>
      <c r="B12" s="26" t="s">
        <v>23</v>
      </c>
      <c r="C12" s="9">
        <f>-'Fane 4.1. Gen. krav - drift'!G69</f>
        <v>-652718.47275850165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82540136.946771741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3294456.6568568661</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85834593.603628606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ZQdTrRLavMoxgznECQ9sxTVxZvndNh/JoJ7bPnAHgj6YL8g2/B1M5usroCbRocKXO2OxkH/JOoZGwfdynB7S1Q==" saltValue="Ab97xDLvnPRNbEDbINwmn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65684815.853325211</v>
      </c>
      <c r="D9" s="8" t="s">
        <v>3</v>
      </c>
      <c r="E9" s="1"/>
    </row>
    <row r="10" spans="1:5" x14ac:dyDescent="0.25">
      <c r="A10" s="1"/>
      <c r="B10" s="88" t="s">
        <v>36</v>
      </c>
      <c r="C10" s="7">
        <v>49799.932800000002</v>
      </c>
      <c r="D10" s="8" t="s">
        <v>3</v>
      </c>
      <c r="E10" s="1"/>
    </row>
    <row r="11" spans="1:5" x14ac:dyDescent="0.25">
      <c r="A11" s="1"/>
      <c r="B11" s="88" t="s">
        <v>37</v>
      </c>
      <c r="C11" s="9">
        <v>0</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218532.76992365322</v>
      </c>
      <c r="D16" s="8" t="s">
        <v>3</v>
      </c>
      <c r="E16" s="1"/>
    </row>
    <row r="17" spans="1:5" x14ac:dyDescent="0.25">
      <c r="A17" s="1"/>
      <c r="B17" s="88" t="s">
        <v>10</v>
      </c>
      <c r="C17" s="41">
        <v>-1319062.9711209773</v>
      </c>
      <c r="D17" s="8" t="s">
        <v>3</v>
      </c>
      <c r="E17" s="1"/>
    </row>
    <row r="18" spans="1:5" x14ac:dyDescent="0.25">
      <c r="A18" s="1"/>
      <c r="B18" s="88" t="s">
        <v>23</v>
      </c>
      <c r="C18" s="41">
        <v>-516740.4126384047</v>
      </c>
      <c r="D18" s="8" t="s">
        <v>3</v>
      </c>
      <c r="E18" s="1"/>
    </row>
    <row r="19" spans="1:5" x14ac:dyDescent="0.25">
      <c r="A19" s="1"/>
      <c r="B19" s="88" t="s">
        <v>24</v>
      </c>
      <c r="C19" s="41">
        <v>-691480.47784984147</v>
      </c>
      <c r="D19" s="8" t="s">
        <v>3</v>
      </c>
      <c r="E19" s="47"/>
    </row>
    <row r="20" spans="1:5" x14ac:dyDescent="0.25">
      <c r="A20" s="1"/>
      <c r="B20" s="82" t="s">
        <v>21</v>
      </c>
      <c r="C20" s="10">
        <v>63425864.694439642</v>
      </c>
      <c r="D20" s="11" t="s">
        <v>3</v>
      </c>
      <c r="E20" s="1"/>
    </row>
    <row r="21" spans="1:5" x14ac:dyDescent="0.25">
      <c r="A21" s="1"/>
      <c r="B21" s="33" t="s">
        <v>12</v>
      </c>
      <c r="C21" s="28"/>
      <c r="D21" s="19"/>
      <c r="E21" s="1"/>
    </row>
    <row r="22" spans="1:5" x14ac:dyDescent="0.25">
      <c r="A22" s="1"/>
      <c r="B22" s="31" t="s">
        <v>12</v>
      </c>
      <c r="C22" s="10">
        <v>2202658.1307172803</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-501288.68872714788</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65127234.136429772</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g1HORxwrC7JOhAdqPKs9YpUtb9PsqotE7wRqGC75BovyuG7C2hJ01h+6tFtNyuDC4YhQXHgph/GsJnCemYWNg==" saltValue="TNII+7YJkydXSzGftha3h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4" t="s">
        <v>46</v>
      </c>
      <c r="C4" s="115"/>
      <c r="D4" s="115"/>
      <c r="E4" s="115"/>
      <c r="F4" s="115"/>
      <c r="G4" s="115"/>
      <c r="H4" s="116"/>
      <c r="I4" s="1"/>
    </row>
    <row r="5" spans="1:9" x14ac:dyDescent="0.25">
      <c r="A5" s="1"/>
      <c r="B5" s="117" t="s">
        <v>38</v>
      </c>
      <c r="C5" s="118"/>
      <c r="D5" s="118"/>
      <c r="E5" s="118"/>
      <c r="F5" s="119"/>
      <c r="G5" s="63">
        <v>26824449</v>
      </c>
      <c r="H5" s="14" t="s">
        <v>3</v>
      </c>
      <c r="I5" s="1"/>
    </row>
    <row r="6" spans="1:9" x14ac:dyDescent="0.25">
      <c r="A6" s="1"/>
      <c r="B6" s="126" t="s">
        <v>102</v>
      </c>
      <c r="C6" s="127"/>
      <c r="D6" s="127"/>
      <c r="E6" s="127"/>
      <c r="F6" s="128"/>
      <c r="G6" s="66">
        <v>0</v>
      </c>
      <c r="H6" s="14" t="s">
        <v>3</v>
      </c>
      <c r="I6" s="1"/>
    </row>
    <row r="7" spans="1:9" x14ac:dyDescent="0.25">
      <c r="A7" s="1"/>
      <c r="B7" s="117" t="s">
        <v>39</v>
      </c>
      <c r="C7" s="118"/>
      <c r="D7" s="118"/>
      <c r="E7" s="118"/>
      <c r="F7" s="119"/>
      <c r="G7" s="23">
        <f>SUM(G5:G6)*'Fane 15. Nøgletal'!C33</f>
        <v>536488.98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4" t="s">
        <v>47</v>
      </c>
      <c r="C10" s="115"/>
      <c r="D10" s="115"/>
      <c r="E10" s="115"/>
      <c r="F10" s="115"/>
      <c r="G10" s="115"/>
      <c r="H10" s="116"/>
      <c r="I10" s="1"/>
    </row>
    <row r="11" spans="1:9" x14ac:dyDescent="0.25">
      <c r="A11" s="1"/>
      <c r="B11" s="117" t="s">
        <v>40</v>
      </c>
      <c r="C11" s="118"/>
      <c r="D11" s="118"/>
      <c r="E11" s="118"/>
      <c r="F11" s="119"/>
      <c r="G11" s="23">
        <f>(G5-G7)*(1+'Fane 15. Nøgletal'!C10)</f>
        <v>26747999.320350002</v>
      </c>
      <c r="H11" s="14" t="s">
        <v>3</v>
      </c>
      <c r="I11" s="1"/>
    </row>
    <row r="12" spans="1:9" ht="15" customHeight="1" x14ac:dyDescent="0.25">
      <c r="A12" s="1"/>
      <c r="B12" s="117" t="s">
        <v>103</v>
      </c>
      <c r="C12" s="118"/>
      <c r="D12" s="118"/>
      <c r="E12" s="118"/>
      <c r="F12" s="119"/>
      <c r="G12" s="66">
        <v>0.3512038820330054</v>
      </c>
      <c r="H12" s="14" t="s">
        <v>3</v>
      </c>
      <c r="I12" s="1"/>
    </row>
    <row r="13" spans="1:9" x14ac:dyDescent="0.25">
      <c r="A13" s="1"/>
      <c r="B13" s="126" t="s">
        <v>100</v>
      </c>
      <c r="C13" s="127"/>
      <c r="D13" s="127"/>
      <c r="E13" s="127"/>
      <c r="F13" s="128"/>
      <c r="G13" s="66">
        <v>0</v>
      </c>
      <c r="H13" s="14" t="s">
        <v>3</v>
      </c>
      <c r="I13" s="1"/>
    </row>
    <row r="14" spans="1:9" x14ac:dyDescent="0.25">
      <c r="A14" s="1"/>
      <c r="B14" s="123" t="s">
        <v>244</v>
      </c>
      <c r="C14" s="124"/>
      <c r="D14" s="124"/>
      <c r="E14" s="124"/>
      <c r="F14" s="125"/>
      <c r="G14" s="66">
        <v>0</v>
      </c>
      <c r="H14" s="14" t="s">
        <v>3</v>
      </c>
      <c r="I14" s="1"/>
    </row>
    <row r="15" spans="1:9" x14ac:dyDescent="0.25">
      <c r="A15" s="1"/>
      <c r="B15" s="117" t="s">
        <v>41</v>
      </c>
      <c r="C15" s="118"/>
      <c r="D15" s="118"/>
      <c r="E15" s="118"/>
      <c r="F15" s="119"/>
      <c r="G15" s="23">
        <f>SUM(G11:G14)*'Fane 15. Nøgletal'!C33</f>
        <v>534959.99343107769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4" t="s">
        <v>48</v>
      </c>
      <c r="C18" s="115"/>
      <c r="D18" s="115"/>
      <c r="E18" s="115"/>
      <c r="F18" s="115"/>
      <c r="G18" s="115"/>
      <c r="H18" s="116"/>
      <c r="I18" s="1"/>
    </row>
    <row r="19" spans="1:9" x14ac:dyDescent="0.25">
      <c r="A19" s="1"/>
      <c r="B19" s="117" t="s">
        <v>42</v>
      </c>
      <c r="C19" s="118"/>
      <c r="D19" s="118"/>
      <c r="E19" s="118"/>
      <c r="F19" s="119"/>
      <c r="G19" s="23">
        <f>(SUM(G11:G12,G14)-(G15))*(1+'Fane 15. Nøgletal'!C10)</f>
        <v>26671767.872489959</v>
      </c>
      <c r="H19" s="14" t="s">
        <v>3</v>
      </c>
      <c r="I19" s="1"/>
    </row>
    <row r="20" spans="1:9" x14ac:dyDescent="0.25">
      <c r="A20" s="1"/>
      <c r="B20" s="123" t="s">
        <v>245</v>
      </c>
      <c r="C20" s="124"/>
      <c r="D20" s="124"/>
      <c r="E20" s="124"/>
      <c r="F20" s="125"/>
      <c r="G20" s="66">
        <v>0</v>
      </c>
      <c r="H20" s="14" t="s">
        <v>3</v>
      </c>
      <c r="I20" s="1"/>
    </row>
    <row r="21" spans="1:9" x14ac:dyDescent="0.25">
      <c r="A21" s="1"/>
      <c r="B21" s="117" t="s">
        <v>43</v>
      </c>
      <c r="C21" s="118"/>
      <c r="D21" s="118"/>
      <c r="E21" s="118"/>
      <c r="F21" s="119"/>
      <c r="G21" s="23">
        <f>SUM(G19:G20)*'Fane 15. Nøgletal'!C33</f>
        <v>533435.35744979919</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4" t="s">
        <v>49</v>
      </c>
      <c r="C24" s="115"/>
      <c r="D24" s="115"/>
      <c r="E24" s="115"/>
      <c r="F24" s="115"/>
      <c r="G24" s="115"/>
      <c r="H24" s="116"/>
      <c r="I24" s="1"/>
    </row>
    <row r="25" spans="1:9" x14ac:dyDescent="0.25">
      <c r="A25" s="1"/>
      <c r="B25" s="117" t="s">
        <v>44</v>
      </c>
      <c r="C25" s="118"/>
      <c r="D25" s="118"/>
      <c r="E25" s="118"/>
      <c r="F25" s="119"/>
      <c r="G25" s="23">
        <f>(G19+G20-G21)*(1+'Fane 15. Nøgletal'!C12)</f>
        <v>26653257.665586453</v>
      </c>
      <c r="H25" s="14" t="s">
        <v>3</v>
      </c>
      <c r="I25" s="1"/>
    </row>
    <row r="26" spans="1:9" x14ac:dyDescent="0.25">
      <c r="A26" s="1"/>
      <c r="B26" s="123" t="s">
        <v>246</v>
      </c>
      <c r="C26" s="124"/>
      <c r="D26" s="124"/>
      <c r="E26" s="124"/>
      <c r="F26" s="125"/>
      <c r="G26" s="66">
        <v>0</v>
      </c>
      <c r="H26" s="14" t="s">
        <v>3</v>
      </c>
      <c r="I26" s="1"/>
    </row>
    <row r="27" spans="1:9" x14ac:dyDescent="0.25">
      <c r="A27" s="1"/>
      <c r="B27" s="117" t="s">
        <v>45</v>
      </c>
      <c r="C27" s="118"/>
      <c r="D27" s="118"/>
      <c r="E27" s="118"/>
      <c r="F27" s="119"/>
      <c r="G27" s="23">
        <f>(G25+G26)*'Fane 15. Nøgletal'!C33</f>
        <v>533065.15331172908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4" t="s">
        <v>52</v>
      </c>
      <c r="C30" s="115"/>
      <c r="D30" s="115"/>
      <c r="E30" s="115"/>
      <c r="F30" s="115"/>
      <c r="G30" s="115"/>
      <c r="H30" s="116"/>
      <c r="I30" s="1"/>
    </row>
    <row r="31" spans="1:9" x14ac:dyDescent="0.25">
      <c r="A31" s="1"/>
      <c r="B31" s="117" t="s">
        <v>53</v>
      </c>
      <c r="C31" s="118"/>
      <c r="D31" s="118"/>
      <c r="E31" s="118"/>
      <c r="F31" s="119"/>
      <c r="G31" s="23">
        <f>(G25+G26-G27)*(1+'Fane 15. Nøgletal'!C12)</f>
        <v>26634760.304766536</v>
      </c>
      <c r="H31" s="14" t="s">
        <v>3</v>
      </c>
      <c r="I31" s="1"/>
    </row>
    <row r="32" spans="1:9" x14ac:dyDescent="0.25">
      <c r="A32" s="1"/>
      <c r="B32" s="117" t="s">
        <v>243</v>
      </c>
      <c r="C32" s="118"/>
      <c r="D32" s="118"/>
      <c r="E32" s="118"/>
      <c r="F32" s="119"/>
      <c r="G32" s="63">
        <v>0</v>
      </c>
      <c r="H32" s="14" t="s">
        <v>3</v>
      </c>
      <c r="I32" s="1"/>
    </row>
    <row r="33" spans="1:9" x14ac:dyDescent="0.25">
      <c r="A33" s="1"/>
      <c r="B33" s="117" t="s">
        <v>54</v>
      </c>
      <c r="C33" s="118"/>
      <c r="D33" s="118"/>
      <c r="E33" s="118"/>
      <c r="F33" s="119"/>
      <c r="G33" s="23">
        <f>(G31+G32)*'Fane 15. Nøgletal'!C33</f>
        <v>532695.20609533077</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4" t="s">
        <v>126</v>
      </c>
      <c r="C36" s="115"/>
      <c r="D36" s="115"/>
      <c r="E36" s="115"/>
      <c r="F36" s="115"/>
      <c r="G36" s="115"/>
      <c r="H36" s="116"/>
      <c r="I36" s="1"/>
    </row>
    <row r="37" spans="1:9" x14ac:dyDescent="0.25">
      <c r="A37" s="1"/>
      <c r="B37" s="117" t="s">
        <v>68</v>
      </c>
      <c r="C37" s="118"/>
      <c r="D37" s="118"/>
      <c r="E37" s="118"/>
      <c r="F37" s="119"/>
      <c r="G37" s="23">
        <f>(G31+G32-G33)*(1+'Fane 15. Nøgletal'!C14)</f>
        <v>26188201.913496822</v>
      </c>
      <c r="H37" s="14" t="s">
        <v>3</v>
      </c>
      <c r="I37" s="1"/>
    </row>
    <row r="38" spans="1:9" x14ac:dyDescent="0.25">
      <c r="A38" s="1"/>
      <c r="B38" s="117" t="s">
        <v>242</v>
      </c>
      <c r="C38" s="118"/>
      <c r="D38" s="118"/>
      <c r="E38" s="118"/>
      <c r="F38" s="119"/>
      <c r="G38" s="63">
        <v>36936.57999766001</v>
      </c>
      <c r="H38" s="14" t="s">
        <v>3</v>
      </c>
      <c r="I38" s="1"/>
    </row>
    <row r="39" spans="1:9" x14ac:dyDescent="0.25">
      <c r="A39" s="1"/>
      <c r="B39" s="117" t="s">
        <v>128</v>
      </c>
      <c r="C39" s="118"/>
      <c r="D39" s="118"/>
      <c r="E39" s="118"/>
      <c r="F39" s="119"/>
      <c r="G39" s="23">
        <f>(G37+G38)*'Fane 15. Nøgletal'!C33</f>
        <v>524502.7698698896</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4" t="s">
        <v>127</v>
      </c>
      <c r="C42" s="115"/>
      <c r="D42" s="115"/>
      <c r="E42" s="115"/>
      <c r="F42" s="115"/>
      <c r="G42" s="115"/>
      <c r="H42" s="116"/>
      <c r="I42" s="1"/>
    </row>
    <row r="43" spans="1:9" x14ac:dyDescent="0.25">
      <c r="A43" s="1"/>
      <c r="B43" s="117" t="s">
        <v>155</v>
      </c>
      <c r="C43" s="118"/>
      <c r="D43" s="118"/>
      <c r="E43" s="118"/>
      <c r="F43" s="119"/>
      <c r="G43" s="23">
        <f>(G37+G38-G39)*(1+'Fane 15. Nøgletal'!C14)</f>
        <v>25785447.821512554</v>
      </c>
      <c r="H43" s="14" t="s">
        <v>3</v>
      </c>
      <c r="I43" s="1"/>
    </row>
    <row r="44" spans="1:9" x14ac:dyDescent="0.25">
      <c r="A44" s="1"/>
      <c r="B44" s="120" t="s">
        <v>157</v>
      </c>
      <c r="C44" s="121"/>
      <c r="D44" s="121"/>
      <c r="E44" s="121"/>
      <c r="F44" s="122"/>
      <c r="G44" s="45">
        <v>51572.810407680008</v>
      </c>
      <c r="H44" s="14" t="s">
        <v>3</v>
      </c>
      <c r="I44" s="1"/>
    </row>
    <row r="45" spans="1:9" x14ac:dyDescent="0.25">
      <c r="A45" s="1"/>
      <c r="B45" s="117" t="s">
        <v>129</v>
      </c>
      <c r="C45" s="118"/>
      <c r="D45" s="118"/>
      <c r="E45" s="118"/>
      <c r="F45" s="119"/>
      <c r="G45" s="23">
        <f>SUM(G43:G44)*'Fane 15. Nøgletal'!C33</f>
        <v>516740.4126384047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4" t="s">
        <v>192</v>
      </c>
      <c r="C51" s="115"/>
      <c r="D51" s="115"/>
      <c r="E51" s="115"/>
      <c r="F51" s="115"/>
      <c r="G51" s="115"/>
      <c r="H51" s="116"/>
      <c r="I51" s="1"/>
    </row>
    <row r="52" spans="1:9" x14ac:dyDescent="0.25">
      <c r="A52" s="1"/>
      <c r="B52" s="117" t="s">
        <v>154</v>
      </c>
      <c r="C52" s="118"/>
      <c r="D52" s="118"/>
      <c r="E52" s="118"/>
      <c r="F52" s="119"/>
      <c r="G52" s="23">
        <f>(G43+G44-G45)*(1+'Fane 15. Nøgletal'!C16)</f>
        <v>27366158.8609998</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98972.035281279997</v>
      </c>
      <c r="H53" s="14" t="s">
        <v>3</v>
      </c>
      <c r="I53" s="1"/>
    </row>
    <row r="54" spans="1:9" x14ac:dyDescent="0.25">
      <c r="A54" s="1"/>
      <c r="B54" s="117" t="s">
        <v>210</v>
      </c>
      <c r="C54" s="118"/>
      <c r="D54" s="118"/>
      <c r="E54" s="118"/>
      <c r="F54" s="119"/>
      <c r="G54" s="23">
        <f>(G52)*'Fane 15. Nøgletal'!C33+(G53)*'Fane 15. Nøgletal'!C33</f>
        <v>549302.61792562157</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4" t="s">
        <v>193</v>
      </c>
      <c r="C57" s="115"/>
      <c r="D57" s="115"/>
      <c r="E57" s="115"/>
      <c r="F57" s="115"/>
      <c r="G57" s="115"/>
      <c r="H57" s="116"/>
      <c r="I57" s="1"/>
    </row>
    <row r="58" spans="1:9" x14ac:dyDescent="0.25">
      <c r="A58" s="1"/>
      <c r="B58" s="78" t="s">
        <v>212</v>
      </c>
      <c r="C58" s="79"/>
      <c r="D58" s="79"/>
      <c r="E58" s="79"/>
      <c r="F58" s="80"/>
      <c r="G58" s="23">
        <f>(G52+G53-G54)*(1+'Fane 15. Nøgletal'!C16)</f>
        <v>29090627.203246579</v>
      </c>
      <c r="H58" s="14" t="s">
        <v>3</v>
      </c>
      <c r="I58" s="1"/>
    </row>
    <row r="59" spans="1:9" x14ac:dyDescent="0.25">
      <c r="A59" s="1"/>
      <c r="B59" s="78" t="s">
        <v>211</v>
      </c>
      <c r="C59" s="79"/>
      <c r="D59" s="79"/>
      <c r="E59" s="79"/>
      <c r="F59" s="80"/>
      <c r="G59" s="23">
        <f>(G58)*'Fane 15. Nøgletal'!C33</f>
        <v>581812.54406493157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4" t="s">
        <v>256</v>
      </c>
      <c r="C62" s="115"/>
      <c r="D62" s="115"/>
      <c r="E62" s="115"/>
      <c r="F62" s="115"/>
      <c r="G62" s="115"/>
      <c r="H62" s="116"/>
      <c r="I62" s="1"/>
    </row>
    <row r="63" spans="1:9" x14ac:dyDescent="0.25">
      <c r="A63" s="1"/>
      <c r="B63" s="78" t="s">
        <v>213</v>
      </c>
      <c r="C63" s="79"/>
      <c r="D63" s="79"/>
      <c r="E63" s="79"/>
      <c r="F63" s="80"/>
      <c r="G63" s="23">
        <f>(G58-G59)*(1+'Fane 15. Nøgletal'!C16)</f>
        <v>30812326.883643523</v>
      </c>
      <c r="H63" s="14" t="s">
        <v>3</v>
      </c>
      <c r="I63" s="1"/>
    </row>
    <row r="64" spans="1:9" x14ac:dyDescent="0.25">
      <c r="A64" s="1"/>
      <c r="B64" s="78" t="s">
        <v>214</v>
      </c>
      <c r="C64" s="79"/>
      <c r="D64" s="79"/>
      <c r="E64" s="79"/>
      <c r="F64" s="80"/>
      <c r="G64" s="23">
        <f>(G63)*'Fane 15. Nøgletal'!C33</f>
        <v>616246.53767287044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4" t="s">
        <v>257</v>
      </c>
      <c r="C67" s="115"/>
      <c r="D67" s="115"/>
      <c r="E67" s="115"/>
      <c r="F67" s="115"/>
      <c r="G67" s="115"/>
      <c r="H67" s="116"/>
      <c r="I67" s="1"/>
    </row>
    <row r="68" spans="1:9" x14ac:dyDescent="0.25">
      <c r="A68" s="1"/>
      <c r="B68" s="78" t="s">
        <v>213</v>
      </c>
      <c r="C68" s="79"/>
      <c r="D68" s="79"/>
      <c r="E68" s="79"/>
      <c r="F68" s="80"/>
      <c r="G68" s="23">
        <f>(G63-G64)*(1+'Fane 15. Nøgletal'!C16)</f>
        <v>32635923.637925081</v>
      </c>
      <c r="H68" s="14" t="s">
        <v>3</v>
      </c>
      <c r="I68" s="1"/>
    </row>
    <row r="69" spans="1:9" x14ac:dyDescent="0.25">
      <c r="A69" s="1"/>
      <c r="B69" s="78" t="s">
        <v>214</v>
      </c>
      <c r="C69" s="79"/>
      <c r="D69" s="79"/>
      <c r="E69" s="79"/>
      <c r="F69" s="80"/>
      <c r="G69" s="23">
        <f>(G68)*'Fane 15. Nøgletal'!C33</f>
        <v>652718.47275850165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eTidcXdrKPgYAJYDt4w1ObnMZ8ovOSnKYCjr0/v8CRFTB0qAoLfoc2i1jvCexcuymLDGyb+ftaslVZFBhWewIg==" saltValue="PuC1zIxLCnSRzbdxljCTZQ=="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4" t="s">
        <v>50</v>
      </c>
      <c r="C4" s="115"/>
      <c r="D4" s="115"/>
      <c r="E4" s="115"/>
      <c r="F4" s="115"/>
      <c r="G4" s="115"/>
      <c r="H4" s="116"/>
      <c r="I4" s="1"/>
    </row>
    <row r="5" spans="1:9" x14ac:dyDescent="0.25">
      <c r="A5" s="1"/>
      <c r="B5" s="117" t="s">
        <v>55</v>
      </c>
      <c r="C5" s="118"/>
      <c r="D5" s="118"/>
      <c r="E5" s="118"/>
      <c r="F5" s="119"/>
      <c r="G5" s="63">
        <v>48131379</v>
      </c>
      <c r="H5" s="14" t="s">
        <v>3</v>
      </c>
      <c r="I5" s="1"/>
    </row>
    <row r="6" spans="1:9" x14ac:dyDescent="0.25">
      <c r="A6" s="1"/>
      <c r="B6" s="117" t="s">
        <v>51</v>
      </c>
      <c r="C6" s="118"/>
      <c r="D6" s="118"/>
      <c r="E6" s="118"/>
      <c r="F6" s="119"/>
      <c r="G6" s="23">
        <f>G5*'Fane 15. Nøgletal'!C21</f>
        <v>437995.54889999999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4" t="s">
        <v>56</v>
      </c>
      <c r="C9" s="115"/>
      <c r="D9" s="115"/>
      <c r="E9" s="115"/>
      <c r="F9" s="115"/>
      <c r="G9" s="115"/>
      <c r="H9" s="116"/>
      <c r="I9" s="1"/>
    </row>
    <row r="10" spans="1:9" x14ac:dyDescent="0.25">
      <c r="A10" s="1"/>
      <c r="B10" s="117" t="s">
        <v>57</v>
      </c>
      <c r="C10" s="118"/>
      <c r="D10" s="118"/>
      <c r="E10" s="118"/>
      <c r="F10" s="119"/>
      <c r="G10" s="23">
        <f>(G5-G6)*(1+'Fane 15. Nøgletal'!C10)</f>
        <v>48528017.661494255</v>
      </c>
      <c r="H10" s="14" t="s">
        <v>3</v>
      </c>
      <c r="I10" s="1"/>
    </row>
    <row r="11" spans="1:9" x14ac:dyDescent="0.25">
      <c r="A11" s="1"/>
      <c r="B11" s="117" t="s">
        <v>104</v>
      </c>
      <c r="C11" s="118"/>
      <c r="D11" s="118"/>
      <c r="E11" s="118"/>
      <c r="F11" s="119"/>
      <c r="G11" s="63">
        <v>-583569.62104921986</v>
      </c>
      <c r="H11" s="14" t="s">
        <v>3</v>
      </c>
      <c r="I11" s="1"/>
    </row>
    <row r="12" spans="1:9" x14ac:dyDescent="0.25">
      <c r="A12" s="1"/>
      <c r="B12" s="123" t="s">
        <v>247</v>
      </c>
      <c r="C12" s="124"/>
      <c r="D12" s="124"/>
      <c r="E12" s="124"/>
      <c r="F12" s="125"/>
      <c r="G12" s="66">
        <v>0</v>
      </c>
      <c r="H12" s="14" t="s">
        <v>3</v>
      </c>
      <c r="I12" s="1"/>
    </row>
    <row r="13" spans="1:9" x14ac:dyDescent="0.25">
      <c r="A13" s="1"/>
      <c r="B13" s="117" t="s">
        <v>58</v>
      </c>
      <c r="C13" s="118"/>
      <c r="D13" s="118"/>
      <c r="E13" s="118"/>
      <c r="F13" s="119"/>
      <c r="G13" s="23">
        <f>SUM(G10:G12)*'Fane 15. Nøgletal'!C22</f>
        <v>848616.73031587712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4" t="s">
        <v>59</v>
      </c>
      <c r="C16" s="115"/>
      <c r="D16" s="115"/>
      <c r="E16" s="115"/>
      <c r="F16" s="115"/>
      <c r="G16" s="115"/>
      <c r="H16" s="116"/>
      <c r="I16" s="1"/>
    </row>
    <row r="17" spans="1:9" x14ac:dyDescent="0.25">
      <c r="A17" s="1"/>
      <c r="B17" s="117" t="s">
        <v>60</v>
      </c>
      <c r="C17" s="118"/>
      <c r="D17" s="118"/>
      <c r="E17" s="118"/>
      <c r="F17" s="119"/>
      <c r="G17" s="23">
        <f>(SUM(G10:G12)-G13)*(1+'Fane 15. Nøgletal'!C10)</f>
        <v>47920008.358056419</v>
      </c>
      <c r="H17" s="14" t="s">
        <v>3</v>
      </c>
      <c r="I17" s="1"/>
    </row>
    <row r="18" spans="1:9" x14ac:dyDescent="0.25">
      <c r="A18" s="1"/>
      <c r="B18" s="123" t="s">
        <v>248</v>
      </c>
      <c r="C18" s="124"/>
      <c r="D18" s="124"/>
      <c r="E18" s="124"/>
      <c r="F18" s="125"/>
      <c r="G18" s="63">
        <v>284829.57450400991</v>
      </c>
      <c r="H18" s="14" t="s">
        <v>3</v>
      </c>
      <c r="I18" s="1"/>
    </row>
    <row r="19" spans="1:9" x14ac:dyDescent="0.25">
      <c r="A19" s="1"/>
      <c r="B19" s="117" t="s">
        <v>61</v>
      </c>
      <c r="C19" s="118"/>
      <c r="D19" s="118"/>
      <c r="E19" s="118"/>
      <c r="F19" s="119"/>
      <c r="G19" s="23">
        <f>G17*'Fane 15. Nøgletal'!C22+G18*'Fane 15. Nøgletal'!C23</f>
        <v>850662.16523578356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4" t="s">
        <v>62</v>
      </c>
      <c r="C22" s="115"/>
      <c r="D22" s="115"/>
      <c r="E22" s="115"/>
      <c r="F22" s="115"/>
      <c r="G22" s="115"/>
      <c r="H22" s="116"/>
      <c r="I22" s="1"/>
    </row>
    <row r="23" spans="1:9" x14ac:dyDescent="0.25">
      <c r="A23" s="1"/>
      <c r="B23" s="117" t="s">
        <v>63</v>
      </c>
      <c r="C23" s="118"/>
      <c r="D23" s="118"/>
      <c r="E23" s="118"/>
      <c r="F23" s="119"/>
      <c r="G23" s="23">
        <f>(G17+G18-G19)*(1+'Fane 15. Nøgletal'!C12)</f>
        <v>48287053.029940948</v>
      </c>
      <c r="H23" s="14" t="s">
        <v>3</v>
      </c>
      <c r="I23" s="1"/>
    </row>
    <row r="24" spans="1:9" x14ac:dyDescent="0.25">
      <c r="A24" s="1"/>
      <c r="B24" s="123" t="s">
        <v>249</v>
      </c>
      <c r="C24" s="124"/>
      <c r="D24" s="124"/>
      <c r="E24" s="124"/>
      <c r="F24" s="125"/>
      <c r="G24" s="63">
        <v>655289.12226198963</v>
      </c>
      <c r="H24" s="14" t="s">
        <v>3</v>
      </c>
      <c r="I24" s="1"/>
    </row>
    <row r="25" spans="1:9" x14ac:dyDescent="0.25">
      <c r="A25" s="1"/>
      <c r="B25" s="117" t="s">
        <v>64</v>
      </c>
      <c r="C25" s="118"/>
      <c r="D25" s="118"/>
      <c r="E25" s="118"/>
      <c r="F25" s="119"/>
      <c r="G25" s="23">
        <f>(G23+G24)*'Fane 15. Nøgletal'!C24</f>
        <v>1389962.5171225634</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4" t="s">
        <v>65</v>
      </c>
      <c r="C28" s="115"/>
      <c r="D28" s="115"/>
      <c r="E28" s="115"/>
      <c r="F28" s="115"/>
      <c r="G28" s="115"/>
      <c r="H28" s="116"/>
      <c r="I28" s="1"/>
    </row>
    <row r="29" spans="1:9" x14ac:dyDescent="0.25">
      <c r="A29" s="1"/>
      <c r="B29" s="117" t="s">
        <v>66</v>
      </c>
      <c r="C29" s="118"/>
      <c r="D29" s="118"/>
      <c r="E29" s="118"/>
      <c r="F29" s="119"/>
      <c r="G29" s="23">
        <f>(G23+G24-G25)*(1+'Fane 15. Nøgletal'!C12)</f>
        <v>48489161.513891451</v>
      </c>
      <c r="H29" s="14" t="s">
        <v>3</v>
      </c>
      <c r="I29" s="1"/>
    </row>
    <row r="30" spans="1:9" x14ac:dyDescent="0.25">
      <c r="A30" s="1"/>
      <c r="B30" s="117" t="s">
        <v>250</v>
      </c>
      <c r="C30" s="118"/>
      <c r="D30" s="118"/>
      <c r="E30" s="118"/>
      <c r="F30" s="119"/>
      <c r="G30" s="63">
        <v>0</v>
      </c>
      <c r="H30" s="14" t="s">
        <v>3</v>
      </c>
      <c r="I30" s="1"/>
    </row>
    <row r="31" spans="1:9" x14ac:dyDescent="0.25">
      <c r="A31" s="1"/>
      <c r="B31" s="117" t="s">
        <v>67</v>
      </c>
      <c r="C31" s="118"/>
      <c r="D31" s="118"/>
      <c r="E31" s="118"/>
      <c r="F31" s="119"/>
      <c r="G31" s="23">
        <f>G29*'Fane 15. Nøgletal'!C24+G30*'Fane 15. Nøgletal'!C25</f>
        <v>1377092.1869945172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4" t="s">
        <v>130</v>
      </c>
      <c r="C34" s="115"/>
      <c r="D34" s="115"/>
      <c r="E34" s="115"/>
      <c r="F34" s="115"/>
      <c r="G34" s="115"/>
      <c r="H34" s="116"/>
      <c r="I34" s="1"/>
    </row>
    <row r="35" spans="1:9" x14ac:dyDescent="0.25">
      <c r="A35" s="1"/>
      <c r="B35" s="117" t="s">
        <v>215</v>
      </c>
      <c r="C35" s="118"/>
      <c r="D35" s="118"/>
      <c r="E35" s="118"/>
      <c r="F35" s="119"/>
      <c r="G35" s="23">
        <f>(G29+G30-G31)*(1+'Fane 15. Nøgletal'!C14)</f>
        <v>47267539.155675702</v>
      </c>
      <c r="H35" s="14" t="s">
        <v>3</v>
      </c>
      <c r="I35" s="1"/>
    </row>
    <row r="36" spans="1:9" x14ac:dyDescent="0.25">
      <c r="A36" s="1"/>
      <c r="B36" s="117" t="s">
        <v>251</v>
      </c>
      <c r="C36" s="118"/>
      <c r="D36" s="118"/>
      <c r="E36" s="118"/>
      <c r="F36" s="119"/>
      <c r="G36" s="63">
        <v>0</v>
      </c>
      <c r="H36" s="14" t="s">
        <v>3</v>
      </c>
      <c r="I36" s="1"/>
    </row>
    <row r="37" spans="1:9" x14ac:dyDescent="0.25">
      <c r="A37" s="1"/>
      <c r="B37" s="117" t="s">
        <v>131</v>
      </c>
      <c r="C37" s="118"/>
      <c r="D37" s="118"/>
      <c r="E37" s="118"/>
      <c r="F37" s="119"/>
      <c r="G37" s="23">
        <f>(G35+G36)*'Fane 15. Nøgletal'!C26</f>
        <v>699559.57950400037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4" t="s">
        <v>151</v>
      </c>
      <c r="C40" s="115"/>
      <c r="D40" s="115"/>
      <c r="E40" s="115"/>
      <c r="F40" s="115"/>
      <c r="G40" s="115"/>
      <c r="H40" s="116"/>
      <c r="I40" s="1"/>
    </row>
    <row r="41" spans="1:9" x14ac:dyDescent="0.25">
      <c r="A41" s="1"/>
      <c r="B41" s="117" t="s">
        <v>216</v>
      </c>
      <c r="C41" s="118"/>
      <c r="D41" s="118"/>
      <c r="E41" s="118"/>
      <c r="F41" s="119"/>
      <c r="G41" s="63">
        <f>(G35+G36-G37)*(1+'Fane 15. Nøgletal'!C14)</f>
        <v>46721653.908773072</v>
      </c>
      <c r="H41" s="14" t="s">
        <v>3</v>
      </c>
      <c r="I41" s="1"/>
    </row>
    <row r="42" spans="1:9" x14ac:dyDescent="0.25">
      <c r="A42" s="1"/>
      <c r="B42" s="40" t="s">
        <v>156</v>
      </c>
      <c r="C42" s="79"/>
      <c r="D42" s="79"/>
      <c r="E42" s="79"/>
      <c r="F42" s="80"/>
      <c r="G42" s="63">
        <v>0</v>
      </c>
      <c r="H42" s="14" t="s">
        <v>3</v>
      </c>
      <c r="I42" s="1"/>
    </row>
    <row r="43" spans="1:9" x14ac:dyDescent="0.25">
      <c r="A43" s="1"/>
      <c r="B43" s="117" t="s">
        <v>132</v>
      </c>
      <c r="C43" s="118"/>
      <c r="D43" s="118"/>
      <c r="E43" s="118"/>
      <c r="F43" s="119"/>
      <c r="G43" s="63">
        <f>(G41)*'Fane 15. Nøgletal'!C26+G42*'Fane 15. Nøgletal'!C27</f>
        <v>691480.47784984147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4" t="s">
        <v>259</v>
      </c>
      <c r="C52" s="115"/>
      <c r="D52" s="115"/>
      <c r="E52" s="115"/>
      <c r="F52" s="115"/>
      <c r="G52" s="115"/>
      <c r="H52" s="116"/>
      <c r="I52" s="1"/>
    </row>
    <row r="53" spans="1:9" x14ac:dyDescent="0.25">
      <c r="A53" s="1"/>
      <c r="B53" s="117" t="s">
        <v>217</v>
      </c>
      <c r="C53" s="118"/>
      <c r="D53" s="118"/>
      <c r="E53" s="118"/>
      <c r="F53" s="119"/>
      <c r="G53" s="63">
        <f>(G41+G42-G43)*(1+'Fane 15. Nøgletal'!C16)</f>
        <v>49749411.444141828</v>
      </c>
      <c r="H53" s="14" t="s">
        <v>3</v>
      </c>
      <c r="I53" s="1"/>
    </row>
    <row r="54" spans="1:9" x14ac:dyDescent="0.25">
      <c r="A54" s="1"/>
      <c r="B54" s="78" t="s">
        <v>195</v>
      </c>
      <c r="C54" s="79"/>
      <c r="D54" s="79"/>
      <c r="E54" s="79"/>
      <c r="F54" s="80"/>
      <c r="G54" s="63">
        <f>('Fane 2.1. Økonomisk ramme 2024'!C11+'Fane 2.1. Økonomisk ramme 2024'!C13+'Fane 2.1. Økonomisk ramme 2024'!C15)*(1+'Fane 15. Nøgletal'!C16)</f>
        <v>147003.14870079997</v>
      </c>
      <c r="H54" s="14" t="s">
        <v>3</v>
      </c>
      <c r="I54" s="1"/>
    </row>
    <row r="55" spans="1:9" x14ac:dyDescent="0.25">
      <c r="A55" s="1"/>
      <c r="B55" s="117" t="s">
        <v>218</v>
      </c>
      <c r="C55" s="118"/>
      <c r="D55" s="118"/>
      <c r="E55" s="118"/>
      <c r="F55" s="119"/>
      <c r="G55" s="6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4" t="s">
        <v>258</v>
      </c>
      <c r="C58" s="115"/>
      <c r="D58" s="115"/>
      <c r="E58" s="115"/>
      <c r="F58" s="115"/>
      <c r="G58" s="115"/>
      <c r="H58" s="116"/>
      <c r="I58" s="1"/>
    </row>
    <row r="59" spans="1:9" x14ac:dyDescent="0.25">
      <c r="A59" s="1"/>
      <c r="B59" s="117" t="s">
        <v>219</v>
      </c>
      <c r="C59" s="118"/>
      <c r="D59" s="118"/>
      <c r="E59" s="118"/>
      <c r="F59" s="119"/>
      <c r="G59" s="63">
        <f>(G53+G54-G55)*(1+'Fane 15. Nøgletal'!C16)</f>
        <v>53928044.891944312</v>
      </c>
      <c r="H59" s="14" t="s">
        <v>3</v>
      </c>
      <c r="I59" s="1"/>
    </row>
    <row r="60" spans="1:9" x14ac:dyDescent="0.25">
      <c r="A60" s="1"/>
      <c r="B60" s="117" t="s">
        <v>220</v>
      </c>
      <c r="C60" s="118"/>
      <c r="D60" s="118"/>
      <c r="E60" s="118"/>
      <c r="F60" s="119"/>
      <c r="G60" s="6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4" t="s">
        <v>141</v>
      </c>
      <c r="C63" s="115"/>
      <c r="D63" s="115"/>
      <c r="E63" s="115"/>
      <c r="F63" s="115"/>
      <c r="G63" s="115"/>
      <c r="H63" s="116"/>
      <c r="I63" s="1"/>
    </row>
    <row r="64" spans="1:9" x14ac:dyDescent="0.25">
      <c r="A64" s="1"/>
      <c r="B64" s="117" t="s">
        <v>221</v>
      </c>
      <c r="C64" s="118"/>
      <c r="D64" s="118"/>
      <c r="E64" s="118"/>
      <c r="F64" s="119"/>
      <c r="G64" s="63">
        <f>(G59-G60)*(1+'Fane 15. Nøgletal'!C16)</f>
        <v>58285430.919213414</v>
      </c>
      <c r="H64" s="14" t="s">
        <v>3</v>
      </c>
      <c r="I64" s="1"/>
    </row>
    <row r="65" spans="1:9" x14ac:dyDescent="0.25">
      <c r="A65" s="1"/>
      <c r="B65" s="117" t="s">
        <v>222</v>
      </c>
      <c r="C65" s="118"/>
      <c r="D65" s="118"/>
      <c r="E65" s="118"/>
      <c r="F65" s="119"/>
      <c r="G65" s="6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4" t="s">
        <v>223</v>
      </c>
      <c r="C68" s="115"/>
      <c r="D68" s="115"/>
      <c r="E68" s="115"/>
      <c r="F68" s="115"/>
      <c r="G68" s="115"/>
      <c r="H68" s="116"/>
      <c r="I68" s="1"/>
    </row>
    <row r="69" spans="1:9" x14ac:dyDescent="0.25">
      <c r="A69" s="1"/>
      <c r="B69" s="117" t="s">
        <v>221</v>
      </c>
      <c r="C69" s="118"/>
      <c r="D69" s="118"/>
      <c r="E69" s="118"/>
      <c r="F69" s="119"/>
      <c r="G69" s="63">
        <f>(G64-G65)*(1+'Fane 15. Nøgletal'!C16)</f>
        <v>62994893.737485856</v>
      </c>
      <c r="H69" s="14" t="s">
        <v>3</v>
      </c>
      <c r="I69" s="1"/>
    </row>
    <row r="70" spans="1:9" x14ac:dyDescent="0.25">
      <c r="A70" s="1"/>
      <c r="B70" s="117" t="s">
        <v>222</v>
      </c>
      <c r="C70" s="118"/>
      <c r="D70" s="118"/>
      <c r="E70" s="118"/>
      <c r="F70" s="119"/>
      <c r="G70" s="6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B4cqFbsejd4SobcqG7LEpynYq7rDTPERn1mDfH/P/dYpBC+9cNrsCCrZ0iGAzDM5jFjW4KTjtvNMvN+pDhwrtA==" saltValue="T4iSpVIcXI/VTAVYryOQZg=="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4" t="s">
        <v>10</v>
      </c>
      <c r="C8" s="115"/>
      <c r="D8" s="115"/>
      <c r="E8" s="115"/>
      <c r="F8" s="115"/>
      <c r="G8" s="116"/>
      <c r="H8" s="1"/>
    </row>
    <row r="9" spans="1:8" x14ac:dyDescent="0.25">
      <c r="A9" s="1"/>
      <c r="B9" s="117" t="s">
        <v>271</v>
      </c>
      <c r="C9" s="118"/>
      <c r="D9" s="118"/>
      <c r="E9" s="118"/>
      <c r="F9" s="119"/>
      <c r="G9" s="22">
        <v>4.7664008901698455E-3</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W1jCHSvjfuspItWX8KPUafnQeWRKhfyctX628BtgvLj77BF7nRTfISZp/TXrTaI8gf8B6pKw19Mmx12EuquZtA==" saltValue="4ttBM99PXmipKU5IVkGbk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2023-11-14T17:07:19Z</dcterms:modified>
</cp:coreProperties>
</file>