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Stenløse Vandværk (V00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2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2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<sst xmlns="http://schemas.openxmlformats.org/spreadsheetml/2006/main" count="406" uniqueCount="154">
  <si>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</si>
  <si>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</si>
  <si>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</si>
  <si>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</si>
  <si>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</si>
  <si>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</si>
  <si>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</si>
  <si>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</si>
  <si>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</si>
  <si>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</si>
  <si>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</si>
  <si>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</si>
  <si>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</si>
  <si>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</si>
  <si>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</si>
  <si>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</si>
  <si>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</si>
  <si>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</si>
  <si>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</si>
  <si>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</si>
  <si>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</si>
  <si>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</si>
  <si>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</si>
  <si>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</si>
  <si>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</si>
  <si>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</si>
  <si>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</si>
  <si>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</si>
  <si>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</si>
  <si>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</si>
  <si>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</si>
  <si>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</si>
  <si>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</si>
  <si>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</si>
  <si>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</si>
  <si>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</si>
  <si>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</si>
  <si>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</si>
  <si>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</si>
  <si>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</si>
  <si>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</si>
  <si>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</si>
  <si>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</si>
  <si>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</si>
  <si>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</si>
  <si>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</si>
  <si>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</si>
  <si>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</si>
  <si>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</si>
  <si>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</si>
  <si>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</si>
  <si>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</si>
  <si>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</si>
  <si>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</si>
  <si>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</si>
  <si>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</si>
  <si>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</si>
  <si>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</si>
  <si>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</si>
  <si>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</si>
  <si>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</si>
  <si>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</si>
  <si>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</si>
  <si>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</si>
  <si>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</si>
  <si>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</si>
  <si>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</si>
  <si>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</si>
  <si>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</si>
  <si>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</si>
  <si>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</si>
  <si>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</si>
  <si>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</si>
  <si>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</si>
  <si>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</si>
  <si>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</si>
  <si>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</si>
  <si>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</si>
  <si>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</si>
  <si>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</si>
  <si>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</si>
  <si>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</si>
  <si>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</si>
  <si>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</si>
  <si>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</si>
  <si>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</si>
  <si>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</si>
  <si>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</si>
  <si>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</si>
  <si>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</si>
  <si>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</si>
  <si>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</si>
  <si>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</si>
  <si>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</si>
  <si>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</si>
  <si>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</si>
  <si>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</si>
  <si>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</si>
  <si>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</si>
  <si>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</si>
  <si>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</si>
  <si>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</si>
  <si>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</si>
  <si>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</si>
  <si>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</si>
  <si>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</si>
  <si>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</si>
  <si>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</si>
  <si>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</si>
  <si>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</si>
  <si>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</si>
  <si>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</si>
  <si>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</si>
  <si>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</si>
  <si>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</si>
  <si>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</si>
  <si>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</si>
  <si>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</si>
  <si>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</si>
  <si>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</si>
  <si>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</si>
  <si>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</si>
  <si>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</si>
  <si>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</si>
  <si>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</si>
  <si>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</si>
  <si>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</si>
  <si>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</si>
  <si>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</si>
  <si>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Byggemodning 2020</t>
  </si>
  <si>
    <t>Ingen tilknyttet virksomhed</t>
  </si>
  <si>
    <t>Ingen engangstillæg</t>
  </si>
  <si>
    <t>Afgift til ledningsført vand</t>
  </si>
  <si>
    <t>Afgift til Forsyningssekretariatet</t>
  </si>
  <si>
    <t>Køb af ydelser og produkter fra andre vandselskaber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</si>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</sst>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3" t="s">
        <v>94</v>
      </c>
      <c r="E8" s="73"/>
      <c r="F8" s="73"/>
      <c r="G8" s="7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87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15</v>
      </c>
      <c r="D14" s="68" t="s">
        <v>37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32</v>
      </c>
      <c r="D15" s="68" t="s">
        <v>63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33</v>
      </c>
      <c r="D16" s="68" t="s">
        <v>95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59</v>
      </c>
      <c r="D17" s="68" t="s">
        <v>96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7</v>
      </c>
      <c r="D18" s="65" t="s">
        <v>12</v>
      </c>
      <c r="E18" s="66"/>
      <c r="F18" s="66"/>
      <c r="G18" s="67"/>
      <c r="H18" s="1"/>
      <c r="I18" s="1"/>
    </row>
    <row r="19" spans="1:9" x14ac:dyDescent="0.45">
      <c r="A19" s="1"/>
      <c r="B19" s="1"/>
      <c r="C19" s="6" t="s">
        <v>8</v>
      </c>
      <c r="D19" s="59" t="s">
        <v>97</v>
      </c>
      <c r="E19" s="60"/>
      <c r="F19" s="60"/>
      <c r="G19" s="61"/>
      <c r="H19" s="1"/>
      <c r="I19" s="1"/>
    </row>
    <row r="20" spans="1:9" x14ac:dyDescent="0.45">
      <c r="A20" s="1"/>
      <c r="B20" s="1"/>
      <c r="C20" s="6" t="s">
        <v>56</v>
      </c>
      <c r="D20" s="59" t="s">
        <v>34</v>
      </c>
      <c r="E20" s="60"/>
      <c r="F20" s="60"/>
      <c r="G20" s="61"/>
      <c r="H20" s="1"/>
      <c r="I20" s="1"/>
    </row>
    <row r="21" spans="1:9" x14ac:dyDescent="0.45">
      <c r="A21" s="1"/>
      <c r="B21" s="1"/>
      <c r="C21" s="6" t="s">
        <v>82</v>
      </c>
      <c r="D21" s="59" t="s">
        <v>41</v>
      </c>
      <c r="E21" s="60"/>
      <c r="F21" s="60"/>
      <c r="G21" s="61"/>
      <c r="H21" s="1"/>
      <c r="I21" s="1"/>
    </row>
    <row r="22" spans="1:9" x14ac:dyDescent="0.45">
      <c r="A22" s="1"/>
      <c r="B22" s="1"/>
      <c r="C22" s="6" t="s">
        <v>83</v>
      </c>
      <c r="D22" s="59" t="s">
        <v>42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84</v>
      </c>
      <c r="D23" s="59" t="s">
        <v>64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9</v>
      </c>
      <c r="D24" s="59" t="s">
        <v>35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50</v>
      </c>
      <c r="D25" s="62" t="s">
        <v>57</v>
      </c>
      <c r="E25" s="63"/>
      <c r="F25" s="63"/>
      <c r="G25" s="64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YtnlkRyGjYV2MO6qTCpSjgKonXDKfGEjzT+21vUHp3ISfg+6DrWI/ZceywMm8LBhhVe0LcUEGVNOoD2Z3/K7Q==" saltValue="UWb9GErlNaChLn+P1uXyR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7" t="s">
        <v>38</v>
      </c>
      <c r="C8" s="22"/>
      <c r="D8" s="22"/>
      <c r="E8" s="22"/>
      <c r="F8" s="58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37" t="s">
        <v>129</v>
      </c>
      <c r="C11" s="19">
        <v>0</v>
      </c>
      <c r="D11" s="12" t="s">
        <v>3</v>
      </c>
      <c r="E11" s="8">
        <v>3560</v>
      </c>
      <c r="F11" s="12" t="s">
        <v>3</v>
      </c>
      <c r="G11" s="1"/>
    </row>
    <row r="12" spans="1:7" x14ac:dyDescent="0.45">
      <c r="A12" s="1"/>
      <c r="B12" s="57" t="s">
        <v>69</v>
      </c>
      <c r="C12" s="10">
        <f>SUM(C10:C11)</f>
        <v>0</v>
      </c>
      <c r="D12" s="11" t="s">
        <v>3</v>
      </c>
      <c r="E12" s="10">
        <f>SUM(E10:E11)</f>
        <v>3560</v>
      </c>
      <c r="F12" s="11" t="s">
        <v>3</v>
      </c>
      <c r="G12" s="1"/>
    </row>
    <row r="13" spans="1:7" x14ac:dyDescent="0.45">
      <c r="A13" s="1"/>
      <c r="B13" s="57" t="s">
        <v>110</v>
      </c>
      <c r="C13" s="10">
        <f>C12*(1+'Fane 10. Nøgletal'!C14)</f>
        <v>0</v>
      </c>
      <c r="D13" s="11" t="s">
        <v>3</v>
      </c>
      <c r="E13" s="10">
        <f>E12*(1+'Fane 10. Nøgletal'!C14)</f>
        <v>3571.7480000000005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svA1KYZQ2ywlBC5fgycGfaKK9F92vrP8YZTja0HMtidUNLsw5LczFrxpCvJ2yah2nB8xUqJ/FxymBTm5kcuzw==" saltValue="D3FpOfjPlFk6qA3QUAxxD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51</v>
      </c>
      <c r="C8" s="90"/>
      <c r="D8" s="90"/>
      <c r="E8" s="90"/>
      <c r="F8" s="91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131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7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7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52</v>
      </c>
      <c r="C15" s="90"/>
      <c r="D15" s="90"/>
      <c r="E15" s="90"/>
      <c r="F15" s="91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6"/>
      <c r="G16" s="1"/>
    </row>
    <row r="17" spans="1:7" x14ac:dyDescent="0.45">
      <c r="A17" s="1"/>
      <c r="B17" s="20" t="s">
        <v>131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7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7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77</v>
      </c>
      <c r="C22" s="90"/>
      <c r="D22" s="90"/>
      <c r="E22" s="90"/>
      <c r="F22" s="91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6"/>
      <c r="G23" s="1"/>
    </row>
    <row r="24" spans="1:7" x14ac:dyDescent="0.45">
      <c r="A24" s="1"/>
      <c r="B24" s="20" t="s">
        <v>131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7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7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9" t="s">
        <v>112</v>
      </c>
      <c r="C29" s="90"/>
      <c r="D29" s="90"/>
      <c r="E29" s="90"/>
      <c r="F29" s="91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6"/>
      <c r="G30" s="1"/>
    </row>
    <row r="31" spans="1:7" x14ac:dyDescent="0.45">
      <c r="A31" s="1"/>
      <c r="B31" s="20" t="s">
        <v>131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7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7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x5x4WNIBEPPPP9qsu62olvuEek0CGaCIez52H+FrTD5JoJPhwVBxcU+8GXEUcxYnFX7VYtRsgOr0vFHLMriTDA==" saltValue="Q3gCuyTJY9UFwQ6hipMIE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91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45">
      <c r="A9" s="1"/>
      <c r="B9" s="55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45">
      <c r="A10" s="1"/>
      <c r="B10" s="20" t="s">
        <v>130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CTIsrhU1GqqsT4d/jsKdniP6HA48WOuvcAwWAPwLCRWnhBbEasdA0MNYZtt4ssJyDVEwvZq2kdGq7UUlWZxtQ==" saltValue="Yxq2x+n5vuLqcByfLKiSc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92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45">
      <c r="A9" s="1"/>
      <c r="B9" s="55" t="s">
        <v>17</v>
      </c>
      <c r="C9" s="55" t="s">
        <v>11</v>
      </c>
      <c r="D9" s="56"/>
      <c r="E9" s="55" t="s">
        <v>28</v>
      </c>
      <c r="F9" s="56"/>
      <c r="G9" s="1"/>
    </row>
    <row r="10" spans="1:7" x14ac:dyDescent="0.45">
      <c r="A10" s="1"/>
      <c r="B10" s="20" t="s">
        <v>135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7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7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49</v>
      </c>
      <c r="C14" s="90"/>
      <c r="D14" s="90"/>
      <c r="E14" s="90"/>
      <c r="F14" s="91"/>
      <c r="G14" s="1"/>
    </row>
    <row r="15" spans="1:7" x14ac:dyDescent="0.45">
      <c r="A15" s="1"/>
      <c r="B15" s="55" t="s">
        <v>17</v>
      </c>
      <c r="C15" s="55" t="s">
        <v>11</v>
      </c>
      <c r="D15" s="56"/>
      <c r="E15" s="55" t="s">
        <v>28</v>
      </c>
      <c r="F15" s="56"/>
      <c r="G15" s="1"/>
    </row>
    <row r="16" spans="1:7" x14ac:dyDescent="0.45">
      <c r="A16" s="1"/>
      <c r="B16" s="20" t="s">
        <v>135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7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7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73</v>
      </c>
      <c r="C20" s="90"/>
      <c r="D20" s="90"/>
      <c r="E20" s="90"/>
      <c r="F20" s="91"/>
      <c r="G20" s="1"/>
    </row>
    <row r="21" spans="1:7" x14ac:dyDescent="0.45">
      <c r="A21" s="1"/>
      <c r="B21" s="55" t="s">
        <v>17</v>
      </c>
      <c r="C21" s="55" t="s">
        <v>11</v>
      </c>
      <c r="D21" s="56"/>
      <c r="E21" s="55" t="s">
        <v>28</v>
      </c>
      <c r="F21" s="56"/>
      <c r="G21" s="1"/>
    </row>
    <row r="22" spans="1:7" x14ac:dyDescent="0.45">
      <c r="A22" s="1"/>
      <c r="B22" s="20" t="s">
        <v>135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7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7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116</v>
      </c>
      <c r="C26" s="90"/>
      <c r="D26" s="90"/>
      <c r="E26" s="90"/>
      <c r="F26" s="91"/>
      <c r="G26" s="1"/>
    </row>
    <row r="27" spans="1:7" x14ac:dyDescent="0.45">
      <c r="A27" s="1"/>
      <c r="B27" s="55" t="s">
        <v>17</v>
      </c>
      <c r="C27" s="55" t="s">
        <v>11</v>
      </c>
      <c r="D27" s="56"/>
      <c r="E27" s="55" t="s">
        <v>28</v>
      </c>
      <c r="F27" s="56"/>
      <c r="G27" s="1"/>
    </row>
    <row r="28" spans="1:7" x14ac:dyDescent="0.45">
      <c r="A28" s="1"/>
      <c r="B28" s="20" t="s">
        <v>135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7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7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L2/xkEx0bEkZ+I2UFkwUC8c+S772WWVm2dwlHtqNU/pdjcSkprLJQSSn3i/wGRFetUTGYbr8sTFWERFx68JbBA==" saltValue="D7Gpkb85l8UlxklXw/NTn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6" t="s">
        <v>93</v>
      </c>
      <c r="C3" s="76"/>
      <c r="D3" s="1"/>
    </row>
    <row r="4" spans="1:4" ht="25.5" customHeight="1" x14ac:dyDescent="0.45">
      <c r="A4" s="1"/>
      <c r="B4" s="76"/>
      <c r="C4" s="7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7" t="s">
        <v>14</v>
      </c>
      <c r="C8" s="58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7"/>
      <c r="C15" s="58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7" t="s">
        <v>54</v>
      </c>
      <c r="C18" s="58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7"/>
      <c r="C20" s="108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436JOoro/W1274wEl2MKsaEmYBCMKLzbfsbRC3HJfbJrdF4GpbQFKhy3wkv8ZM19T5teU1FSIoHrYNPIeVLvg==" saltValue="CcVjNWQMp4zu2b7jWN4xq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13</v>
      </c>
      <c r="C8" s="43"/>
      <c r="D8" s="43"/>
      <c r="E8" s="43"/>
      <c r="F8" s="43"/>
      <c r="G8" s="1"/>
    </row>
    <row r="9" spans="1:7" x14ac:dyDescent="0.45">
      <c r="A9" s="1"/>
      <c r="B9" s="40" t="s">
        <v>24</v>
      </c>
      <c r="C9" s="40"/>
      <c r="D9" s="40"/>
      <c r="E9" s="7">
        <f>'Fane 3. Omkostninger i ØR2021'!E16</f>
        <v>2480997.1360912221</v>
      </c>
      <c r="F9" s="40" t="s">
        <v>3</v>
      </c>
      <c r="G9" s="1"/>
    </row>
    <row r="10" spans="1:7" ht="17.100000000000001" customHeight="1" x14ac:dyDescent="0.45">
      <c r="A10" s="1"/>
      <c r="B10" s="33" t="s">
        <v>121</v>
      </c>
      <c r="C10" s="40"/>
      <c r="D10" s="40"/>
      <c r="E10" s="7">
        <f>'Fane 3. Omkostninger i ØR2021'!E13*(1-'Fane 10. Nøgletal'!C19)*(1+'Fane 10. Nøgletal'!C13)</f>
        <v>0</v>
      </c>
      <c r="F10" s="40" t="s">
        <v>3</v>
      </c>
      <c r="G10" s="1"/>
    </row>
    <row r="11" spans="1:7" ht="17.100000000000001" customHeight="1" x14ac:dyDescent="0.45">
      <c r="A11" s="1"/>
      <c r="B11" s="29" t="s">
        <v>60</v>
      </c>
      <c r="C11" s="40"/>
      <c r="D11" s="40"/>
      <c r="E11" s="7">
        <f>'Fane 7.1. Varige tillæg'!C13+'Fane 7.1. Varige tillæg'!E13</f>
        <v>3571.7480000000005</v>
      </c>
      <c r="F11" s="40" t="s">
        <v>3</v>
      </c>
      <c r="G11" s="1"/>
    </row>
    <row r="12" spans="1:7" ht="17.100000000000001" customHeight="1" x14ac:dyDescent="0.45">
      <c r="A12" s="1"/>
      <c r="B12" s="29" t="s">
        <v>62</v>
      </c>
      <c r="C12" s="40"/>
      <c r="D12" s="40"/>
      <c r="E12" s="8">
        <f>-('Fane 9. Bortfald'!C12+'Fane 9. Bortfald'!E12)</f>
        <v>0</v>
      </c>
      <c r="F12" s="40" t="s">
        <v>3</v>
      </c>
      <c r="G12" s="1"/>
    </row>
    <row r="13" spans="1:7" ht="17.100000000000001" customHeight="1" x14ac:dyDescent="0.45">
      <c r="A13" s="1"/>
      <c r="B13" s="29" t="s">
        <v>65</v>
      </c>
      <c r="C13" s="40"/>
      <c r="D13" s="40"/>
      <c r="E13" s="8">
        <f>'Fane 8. Tilknyttet virksomhed'!C12+'Fane 8. Tilknyttet virksomhed'!E12</f>
        <v>0</v>
      </c>
      <c r="F13" s="40" t="s">
        <v>3</v>
      </c>
      <c r="G13" s="1"/>
    </row>
    <row r="14" spans="1:7" ht="17.100000000000001" customHeight="1" x14ac:dyDescent="0.45">
      <c r="A14" s="1"/>
      <c r="B14" s="29" t="s">
        <v>18</v>
      </c>
      <c r="C14" s="40"/>
      <c r="D14" s="40"/>
      <c r="E14" s="8">
        <f>E9*'Fane 10. Nøgletal'!C13+SUM(E11:E13)*'Fane 10. Nøgletal'!C14</f>
        <v>30279.95182871291</v>
      </c>
      <c r="F14" s="40" t="s">
        <v>3</v>
      </c>
      <c r="G14" s="1"/>
    </row>
    <row r="15" spans="1:7" ht="17.100000000000001" customHeight="1" x14ac:dyDescent="0.45">
      <c r="A15" s="1"/>
      <c r="B15" s="29" t="s">
        <v>54</v>
      </c>
      <c r="C15" s="40"/>
      <c r="D15" s="40"/>
      <c r="E15" s="8">
        <f>-SUM(E9,E11:E14)*'Fane 10. Nøgletal'!C19</f>
        <v>-42752.4302106389</v>
      </c>
      <c r="F15" s="40" t="s">
        <v>3</v>
      </c>
      <c r="G15" s="1"/>
    </row>
    <row r="16" spans="1:7" ht="15" customHeight="1" x14ac:dyDescent="0.45">
      <c r="A16" s="1"/>
      <c r="B16" s="51" t="s">
        <v>20</v>
      </c>
      <c r="C16" s="42"/>
      <c r="D16" s="42"/>
      <c r="E16" s="9">
        <f>SUM(E9,E11:E15)</f>
        <v>2472096.4057092965</v>
      </c>
      <c r="F16" s="44" t="s">
        <v>3</v>
      </c>
      <c r="G16" s="1"/>
    </row>
    <row r="17" spans="1:7" ht="15" customHeight="1" x14ac:dyDescent="0.45">
      <c r="A17" s="1"/>
      <c r="B17" s="43" t="s">
        <v>12</v>
      </c>
      <c r="C17" s="43"/>
      <c r="D17" s="43"/>
      <c r="E17" s="43"/>
      <c r="F17" s="43"/>
      <c r="G17" s="1"/>
    </row>
    <row r="18" spans="1:7" ht="15" customHeight="1" x14ac:dyDescent="0.45">
      <c r="A18" s="1"/>
      <c r="B18" s="44" t="s">
        <v>12</v>
      </c>
      <c r="C18" s="44"/>
      <c r="D18" s="44"/>
      <c r="E18" s="9">
        <f>'Fane 4. Ikke-påvirkelige omk.'!C14</f>
        <v>3388500.6873076521</v>
      </c>
      <c r="F18" s="44" t="s">
        <v>3</v>
      </c>
      <c r="G18" s="1"/>
    </row>
    <row r="19" spans="1:7" ht="15" customHeight="1" x14ac:dyDescent="0.45">
      <c r="A19" s="1"/>
      <c r="B19" s="43" t="s">
        <v>42</v>
      </c>
      <c r="C19" s="43"/>
      <c r="D19" s="43"/>
      <c r="E19" s="43"/>
      <c r="F19" s="43"/>
      <c r="G19" s="1"/>
    </row>
    <row r="20" spans="1:7" ht="15" customHeight="1" x14ac:dyDescent="0.45">
      <c r="A20" s="1"/>
      <c r="B20" s="29" t="s">
        <v>39</v>
      </c>
      <c r="C20" s="40"/>
      <c r="D20" s="40"/>
      <c r="E20" s="8">
        <f>'Fane 7.2. Engangstillæg'!C13</f>
        <v>0</v>
      </c>
      <c r="F20" s="40" t="s">
        <v>3</v>
      </c>
      <c r="G20" s="1"/>
    </row>
    <row r="21" spans="1:7" x14ac:dyDescent="0.45">
      <c r="A21" s="1"/>
      <c r="B21" s="29" t="s">
        <v>40</v>
      </c>
      <c r="C21" s="40"/>
      <c r="D21" s="40"/>
      <c r="E21" s="8">
        <f>'Fane 7.2. Engangstillæg'!E13</f>
        <v>0</v>
      </c>
      <c r="F21" s="40" t="s">
        <v>3</v>
      </c>
      <c r="G21" s="1"/>
    </row>
    <row r="22" spans="1:7" ht="15" customHeight="1" x14ac:dyDescent="0.45">
      <c r="A22" s="1"/>
      <c r="B22" s="51" t="s">
        <v>43</v>
      </c>
      <c r="C22" s="42"/>
      <c r="D22" s="42"/>
      <c r="E22" s="9">
        <f>SUM(E20:E21)</f>
        <v>0</v>
      </c>
      <c r="F22" s="44" t="s">
        <v>3</v>
      </c>
      <c r="G22" s="1"/>
    </row>
    <row r="23" spans="1:7" x14ac:dyDescent="0.45">
      <c r="A23" s="1"/>
      <c r="B23" s="43" t="s">
        <v>85</v>
      </c>
      <c r="C23" s="43"/>
      <c r="D23" s="43"/>
      <c r="E23" s="43"/>
      <c r="F23" s="43"/>
      <c r="G23" s="1"/>
    </row>
    <row r="24" spans="1:7" x14ac:dyDescent="0.45">
      <c r="A24" s="1"/>
      <c r="B24" s="51" t="s">
        <v>31</v>
      </c>
      <c r="C24" s="42"/>
      <c r="D24" s="42"/>
      <c r="E24" s="9">
        <v>-50236.350882923114</v>
      </c>
      <c r="F24" s="44" t="s">
        <v>3</v>
      </c>
      <c r="G24" s="1"/>
    </row>
    <row r="25" spans="1:7" x14ac:dyDescent="0.45">
      <c r="A25" s="1"/>
      <c r="B25" s="51" t="s">
        <v>86</v>
      </c>
      <c r="C25" s="42"/>
      <c r="D25" s="42"/>
      <c r="E25" s="9">
        <f>'Fane 5. Kontrol af ØR2020'!E29</f>
        <v>0</v>
      </c>
      <c r="F25" s="44" t="s">
        <v>3</v>
      </c>
      <c r="G25" s="1"/>
    </row>
    <row r="26" spans="1:7" x14ac:dyDescent="0.45">
      <c r="A26" s="1"/>
      <c r="B26" s="43" t="s">
        <v>149</v>
      </c>
      <c r="C26" s="43"/>
      <c r="D26" s="43"/>
      <c r="E26" s="43"/>
      <c r="F26" s="43"/>
      <c r="G26" s="1"/>
    </row>
    <row r="27" spans="1:7" x14ac:dyDescent="0.45">
      <c r="A27" s="1"/>
      <c r="B27" s="44" t="s">
        <v>150</v>
      </c>
      <c r="C27" s="44"/>
      <c r="D27" s="44"/>
      <c r="E27" s="9">
        <v>0</v>
      </c>
      <c r="F27" s="44" t="s">
        <v>3</v>
      </c>
      <c r="G27" s="1"/>
    </row>
    <row r="28" spans="1:7" x14ac:dyDescent="0.45">
      <c r="A28" s="1"/>
      <c r="B28" s="43" t="s">
        <v>26</v>
      </c>
      <c r="C28" s="43"/>
      <c r="D28" s="43"/>
      <c r="E28" s="10">
        <f>SUM(E16,E18,E22,E24,E25,E27)</f>
        <v>5810360.7421340253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1Kezv6zDTG8DOCihCsqmFdaVZohqKD1kat4N7rLdumHV6Dlfe+IzRtXSzYn3J7jmlqK2q9hFvNdHRjY2DgLQqg==" saltValue="0GWjOs753sELJTV1GwZlD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101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13</v>
      </c>
      <c r="C8" s="43"/>
      <c r="D8" s="43"/>
      <c r="E8" s="43"/>
      <c r="F8" s="43"/>
      <c r="G8" s="1"/>
    </row>
    <row r="9" spans="1:7" ht="15" customHeight="1" x14ac:dyDescent="0.45">
      <c r="A9" s="1"/>
      <c r="B9" s="40" t="s">
        <v>66</v>
      </c>
      <c r="C9" s="40"/>
      <c r="D9" s="40"/>
      <c r="E9" s="7">
        <f>'Fane 2.1. Økonomisk ramme 2022'!E16</f>
        <v>2472096.4057092965</v>
      </c>
      <c r="F9" s="40" t="s">
        <v>3</v>
      </c>
      <c r="G9" s="1"/>
    </row>
    <row r="10" spans="1:7" ht="15" customHeight="1" x14ac:dyDescent="0.45">
      <c r="A10" s="1"/>
      <c r="B10" s="29" t="s">
        <v>62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45">
      <c r="A11" s="1"/>
      <c r="B11" s="41" t="s">
        <v>18</v>
      </c>
      <c r="C11" s="40"/>
      <c r="D11" s="40"/>
      <c r="E11" s="8">
        <f>SUM(E9:E10)*'Fane 10. Nøgletal'!C14</f>
        <v>8157.9181388406787</v>
      </c>
      <c r="F11" s="40" t="s">
        <v>3</v>
      </c>
      <c r="G11" s="1"/>
    </row>
    <row r="12" spans="1:7" ht="15" customHeight="1" x14ac:dyDescent="0.45">
      <c r="A12" s="1"/>
      <c r="B12" s="41" t="s">
        <v>54</v>
      </c>
      <c r="C12" s="40"/>
      <c r="D12" s="40"/>
      <c r="E12" s="8">
        <f>-SUM(E9:E11)*'Fane 10. Nøgletal'!C19</f>
        <v>-42164.323505418331</v>
      </c>
      <c r="F12" s="40" t="s">
        <v>3</v>
      </c>
      <c r="G12" s="1"/>
    </row>
    <row r="13" spans="1:7" ht="15" customHeight="1" x14ac:dyDescent="0.45">
      <c r="A13" s="1"/>
      <c r="B13" s="42" t="s">
        <v>20</v>
      </c>
      <c r="C13" s="42"/>
      <c r="D13" s="42"/>
      <c r="E13" s="9">
        <f>SUM(E9:E12)</f>
        <v>2438090.0003427188</v>
      </c>
      <c r="F13" s="44" t="s">
        <v>3</v>
      </c>
      <c r="G13" s="1"/>
    </row>
    <row r="14" spans="1:7" x14ac:dyDescent="0.45">
      <c r="A14" s="1"/>
      <c r="B14" s="43" t="s">
        <v>12</v>
      </c>
      <c r="C14" s="43"/>
      <c r="D14" s="43"/>
      <c r="E14" s="43"/>
      <c r="F14" s="43"/>
      <c r="G14" s="1"/>
    </row>
    <row r="15" spans="1:7" ht="15" customHeight="1" x14ac:dyDescent="0.45">
      <c r="A15" s="1"/>
      <c r="B15" s="44" t="s">
        <v>12</v>
      </c>
      <c r="C15" s="44"/>
      <c r="D15" s="44"/>
      <c r="E15" s="9">
        <f>'Fane 4. Ikke-påvirkelige omk.'!C14*(1+'Fane 10. Nøgletal'!C14)</f>
        <v>3399682.7395757674</v>
      </c>
      <c r="F15" s="44" t="s">
        <v>3</v>
      </c>
      <c r="G15" s="1"/>
    </row>
    <row r="16" spans="1:7" ht="15" customHeight="1" x14ac:dyDescent="0.45">
      <c r="A16" s="1"/>
      <c r="B16" s="43" t="s">
        <v>42</v>
      </c>
      <c r="C16" s="43"/>
      <c r="D16" s="43"/>
      <c r="E16" s="43"/>
      <c r="F16" s="43"/>
      <c r="G16" s="1"/>
    </row>
    <row r="17" spans="1:7" ht="15" customHeight="1" x14ac:dyDescent="0.45">
      <c r="A17" s="1"/>
      <c r="B17" s="29" t="s">
        <v>39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45">
      <c r="A18" s="1"/>
      <c r="B18" s="29" t="s">
        <v>40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45">
      <c r="A19" s="1"/>
      <c r="B19" s="51" t="s">
        <v>43</v>
      </c>
      <c r="C19" s="42"/>
      <c r="D19" s="42"/>
      <c r="E19" s="9">
        <f>SUM(E17:E18)</f>
        <v>0</v>
      </c>
      <c r="F19" s="44" t="s">
        <v>3</v>
      </c>
      <c r="G19" s="1"/>
    </row>
    <row r="20" spans="1:7" x14ac:dyDescent="0.45">
      <c r="A20" s="1"/>
      <c r="B20" s="43" t="s">
        <v>85</v>
      </c>
      <c r="C20" s="43"/>
      <c r="D20" s="43"/>
      <c r="E20" s="43"/>
      <c r="F20" s="43"/>
      <c r="G20" s="1"/>
    </row>
    <row r="21" spans="1:7" x14ac:dyDescent="0.45">
      <c r="A21" s="1"/>
      <c r="B21" s="44" t="s">
        <v>151</v>
      </c>
      <c r="C21" s="44"/>
      <c r="D21" s="44"/>
      <c r="E21" s="9">
        <f>'Fane 5. Kontrol af ØR2020'!E35</f>
        <v>-273813.63241139846</v>
      </c>
      <c r="F21" s="44" t="s">
        <v>3</v>
      </c>
      <c r="G21" s="1"/>
    </row>
    <row r="22" spans="1:7" x14ac:dyDescent="0.45">
      <c r="A22" s="1"/>
      <c r="B22" s="43" t="s">
        <v>47</v>
      </c>
      <c r="C22" s="43"/>
      <c r="D22" s="43"/>
      <c r="E22" s="10">
        <f>SUM(E13,E15,E19,E21)</f>
        <v>5563959.1075070873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q6tpMmOcapEL7mLdmCFaRiVDduz4amvmuYedW0SO5bF1uK5KqAKuhbW3JgjVQew5H3K054GFEaSqBre5IDC91Q==" saltValue="gph3vcQjUSb/NfKPXN+tC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45">
      <c r="A8" s="1"/>
      <c r="B8" s="40" t="s">
        <v>67</v>
      </c>
      <c r="C8" s="40"/>
      <c r="D8" s="40"/>
      <c r="E8" s="7">
        <f>'Fane 2.2. Økonomisk ramme 2023'!E13</f>
        <v>2438090.0003427188</v>
      </c>
      <c r="F8" s="40" t="s">
        <v>3</v>
      </c>
      <c r="G8" s="1"/>
    </row>
    <row r="9" spans="1:7" ht="15" customHeight="1" x14ac:dyDescent="0.45">
      <c r="A9" s="1"/>
      <c r="B9" s="40" t="s">
        <v>62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45">
      <c r="A10" s="1"/>
      <c r="B10" s="41" t="s">
        <v>18</v>
      </c>
      <c r="C10" s="40"/>
      <c r="D10" s="40"/>
      <c r="E10" s="8">
        <f>SUM(E8:E9)*'Fane 10. Nøgletal'!C14</f>
        <v>8045.6970011309722</v>
      </c>
      <c r="F10" s="40" t="s">
        <v>3</v>
      </c>
      <c r="G10" s="1"/>
    </row>
    <row r="11" spans="1:7" ht="15" customHeight="1" x14ac:dyDescent="0.45">
      <c r="A11" s="1"/>
      <c r="B11" s="41" t="s">
        <v>54</v>
      </c>
      <c r="C11" s="40"/>
      <c r="D11" s="40"/>
      <c r="E11" s="8">
        <f>-SUM(E8:E10)*'Fane 10. Nøgletal'!C19</f>
        <v>-41584.306854845447</v>
      </c>
      <c r="F11" s="40" t="s">
        <v>3</v>
      </c>
      <c r="G11" s="1"/>
    </row>
    <row r="12" spans="1:7" x14ac:dyDescent="0.45">
      <c r="A12" s="1"/>
      <c r="B12" s="42" t="s">
        <v>20</v>
      </c>
      <c r="C12" s="42"/>
      <c r="D12" s="42"/>
      <c r="E12" s="9">
        <f>SUM(E8:E11)</f>
        <v>2404551.3904890041</v>
      </c>
      <c r="F12" s="44" t="s">
        <v>3</v>
      </c>
      <c r="G12" s="1"/>
    </row>
    <row r="13" spans="1:7" x14ac:dyDescent="0.4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45">
      <c r="A14" s="1"/>
      <c r="B14" s="44" t="s">
        <v>12</v>
      </c>
      <c r="C14" s="44"/>
      <c r="D14" s="44"/>
      <c r="E14" s="9">
        <f>'Fane 4. Ikke-påvirkelige omk.'!C14*(1+'Fane 10. Nøgletal'!C14)^2</f>
        <v>3410901.6926163677</v>
      </c>
      <c r="F14" s="44" t="s">
        <v>3</v>
      </c>
      <c r="G14" s="1"/>
    </row>
    <row r="15" spans="1:7" ht="15" customHeight="1" x14ac:dyDescent="0.4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45">
      <c r="A16" s="1"/>
      <c r="B16" s="29" t="s">
        <v>39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45">
      <c r="A17" s="1"/>
      <c r="B17" s="29" t="s">
        <v>40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45">
      <c r="A18" s="1"/>
      <c r="B18" s="51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4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45">
      <c r="A20" s="1"/>
      <c r="B20" s="44" t="s">
        <v>86</v>
      </c>
      <c r="C20" s="44"/>
      <c r="D20" s="44"/>
      <c r="E20" s="9">
        <f>'Fane 5. Kontrol af ØR2020'!E35</f>
        <v>-273813.63241139846</v>
      </c>
      <c r="F20" s="44" t="s">
        <v>3</v>
      </c>
      <c r="G20" s="1"/>
    </row>
    <row r="21" spans="1:7" x14ac:dyDescent="0.45">
      <c r="A21" s="1"/>
      <c r="B21" s="43" t="s">
        <v>68</v>
      </c>
      <c r="C21" s="43"/>
      <c r="D21" s="43"/>
      <c r="E21" s="10">
        <f>SUM(E12,E14,E18,E20)</f>
        <v>5541639.4506939743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hvtf/5p1IJNfzVCz/HxvEDLGpHk85/0HAkmzUB+q9p/j+4VN4XDQ0sLxeu5amqTe8gX0D823tyE6Bf1An+efmw==" saltValue="crT9/IiOnzX2hfdqTj1v/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45">
      <c r="A8" s="1"/>
      <c r="B8" s="40" t="s">
        <v>103</v>
      </c>
      <c r="C8" s="40"/>
      <c r="D8" s="40"/>
      <c r="E8" s="7">
        <f>'Fane 2.3. Økonomisk ramme 2024'!E12</f>
        <v>2404551.3904890041</v>
      </c>
      <c r="F8" s="40" t="s">
        <v>3</v>
      </c>
      <c r="G8" s="1"/>
    </row>
    <row r="9" spans="1:7" ht="15" customHeight="1" x14ac:dyDescent="0.45">
      <c r="A9" s="1"/>
      <c r="B9" s="40" t="s">
        <v>62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45">
      <c r="A10" s="1"/>
      <c r="B10" s="41" t="s">
        <v>18</v>
      </c>
      <c r="C10" s="40"/>
      <c r="D10" s="40"/>
      <c r="E10" s="8">
        <f>SUM(E8:E9)*'Fane 10. Nøgletal'!C14</f>
        <v>7935.0195886137135</v>
      </c>
      <c r="F10" s="40" t="s">
        <v>3</v>
      </c>
      <c r="G10" s="1"/>
    </row>
    <row r="11" spans="1:7" ht="15" customHeight="1" x14ac:dyDescent="0.45">
      <c r="A11" s="1"/>
      <c r="B11" s="41" t="s">
        <v>54</v>
      </c>
      <c r="C11" s="40"/>
      <c r="D11" s="40"/>
      <c r="E11" s="8">
        <f>-SUM(E8:E10)*'Fane 10. Nøgletal'!C19</f>
        <v>-41012.268971319507</v>
      </c>
      <c r="F11" s="40" t="s">
        <v>3</v>
      </c>
      <c r="G11" s="1"/>
    </row>
    <row r="12" spans="1:7" x14ac:dyDescent="0.45">
      <c r="A12" s="1"/>
      <c r="B12" s="42" t="s">
        <v>20</v>
      </c>
      <c r="C12" s="42"/>
      <c r="D12" s="42"/>
      <c r="E12" s="9">
        <f>SUM(E8:E11)</f>
        <v>2371474.1411062987</v>
      </c>
      <c r="F12" s="44" t="s">
        <v>3</v>
      </c>
      <c r="G12" s="1"/>
    </row>
    <row r="13" spans="1:7" x14ac:dyDescent="0.4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45">
      <c r="A14" s="1"/>
      <c r="B14" s="44" t="s">
        <v>12</v>
      </c>
      <c r="C14" s="44"/>
      <c r="D14" s="44"/>
      <c r="E14" s="9">
        <f>'Fane 4. Ikke-påvirkelige omk.'!C14*(1+'Fane 10. Nøgletal'!C14)^3</f>
        <v>3422157.6682020021</v>
      </c>
      <c r="F14" s="44" t="s">
        <v>3</v>
      </c>
      <c r="G14" s="1"/>
    </row>
    <row r="15" spans="1:7" ht="15" customHeight="1" x14ac:dyDescent="0.4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45">
      <c r="A16" s="1"/>
      <c r="B16" s="29" t="s">
        <v>39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45">
      <c r="A17" s="1"/>
      <c r="B17" s="29" t="s">
        <v>40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45">
      <c r="A18" s="1"/>
      <c r="B18" s="51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4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45">
      <c r="A20" s="1"/>
      <c r="B20" s="44" t="s">
        <v>86</v>
      </c>
      <c r="C20" s="44"/>
      <c r="D20" s="44"/>
      <c r="E20" s="9">
        <f>'Fane 5. Kontrol af ØR2020'!E35</f>
        <v>-273813.63241139846</v>
      </c>
      <c r="F20" s="44" t="s">
        <v>3</v>
      </c>
      <c r="G20" s="1"/>
    </row>
    <row r="21" spans="1:7" x14ac:dyDescent="0.45">
      <c r="A21" s="1"/>
      <c r="B21" s="43" t="s">
        <v>104</v>
      </c>
      <c r="C21" s="43"/>
      <c r="D21" s="43"/>
      <c r="E21" s="10">
        <f>SUM(E12,E14,E18,E20)</f>
        <v>5519818.1768969018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IQGbIBtV7p954tFutELAGbZ71upX3zXMEtvdIc9jvzRhFb/wdxvn3cysJLdSHfnJgtf4EgrWY615+IvSgo3Vzw==" saltValue="SkU3VSL17HPqRp1y4+vU9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105</v>
      </c>
      <c r="C3" s="76"/>
      <c r="D3" s="76"/>
      <c r="E3" s="76"/>
      <c r="F3" s="76"/>
      <c r="G3" s="1"/>
    </row>
    <row r="4" spans="1:7" ht="29.2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126</v>
      </c>
      <c r="C8" s="43"/>
      <c r="D8" s="43"/>
      <c r="E8" s="43"/>
      <c r="F8" s="43"/>
      <c r="G8" s="1"/>
    </row>
    <row r="9" spans="1:7" x14ac:dyDescent="0.45">
      <c r="A9" s="1"/>
      <c r="B9" s="77" t="s">
        <v>23</v>
      </c>
      <c r="C9" s="77"/>
      <c r="D9" s="77"/>
      <c r="E9" s="7">
        <v>2533735.3766114358</v>
      </c>
      <c r="F9" s="40" t="s">
        <v>3</v>
      </c>
      <c r="G9" s="1"/>
    </row>
    <row r="10" spans="1:7" x14ac:dyDescent="0.45">
      <c r="A10" s="1"/>
      <c r="B10" s="78" t="s">
        <v>128</v>
      </c>
      <c r="C10" s="78"/>
      <c r="D10" s="78"/>
      <c r="E10" s="7">
        <v>-40252.373731593281</v>
      </c>
      <c r="F10" s="40" t="s">
        <v>3</v>
      </c>
      <c r="G10" s="1"/>
    </row>
    <row r="11" spans="1:7" x14ac:dyDescent="0.45">
      <c r="A11" s="1"/>
      <c r="B11" s="78" t="s">
        <v>60</v>
      </c>
      <c r="C11" s="78"/>
      <c r="D11" s="78"/>
      <c r="E11" s="7">
        <v>0</v>
      </c>
      <c r="F11" s="40" t="s">
        <v>3</v>
      </c>
      <c r="G11" s="1"/>
    </row>
    <row r="12" spans="1:7" x14ac:dyDescent="0.45">
      <c r="A12" s="1"/>
      <c r="B12" s="78" t="s">
        <v>65</v>
      </c>
      <c r="C12" s="78"/>
      <c r="D12" s="78"/>
      <c r="E12" s="7">
        <v>0</v>
      </c>
      <c r="F12" s="40" t="s">
        <v>3</v>
      </c>
      <c r="G12" s="1"/>
    </row>
    <row r="13" spans="1:7" x14ac:dyDescent="0.45">
      <c r="A13" s="1"/>
      <c r="B13" s="78" t="s">
        <v>61</v>
      </c>
      <c r="C13" s="78"/>
      <c r="D13" s="78"/>
      <c r="E13" s="8">
        <v>0</v>
      </c>
      <c r="F13" s="40" t="s">
        <v>3</v>
      </c>
      <c r="G13" s="1"/>
    </row>
    <row r="14" spans="1:7" x14ac:dyDescent="0.45">
      <c r="A14" s="1"/>
      <c r="B14" s="78" t="s">
        <v>18</v>
      </c>
      <c r="C14" s="78"/>
      <c r="D14" s="78"/>
      <c r="E14" s="8">
        <f>SUM(E9:E13)*'Fane 10. Nøgletal'!C13</f>
        <v>30420.492635134084</v>
      </c>
      <c r="F14" s="40" t="s">
        <v>3</v>
      </c>
      <c r="G14" s="1"/>
    </row>
    <row r="15" spans="1:7" x14ac:dyDescent="0.45">
      <c r="A15" s="1"/>
      <c r="B15" s="78" t="s">
        <v>54</v>
      </c>
      <c r="C15" s="78"/>
      <c r="D15" s="78"/>
      <c r="E15" s="8">
        <f>-SUM(E9:E14)*'Fane 10. Nøgletal'!C19</f>
        <v>-42906.359423754606</v>
      </c>
      <c r="F15" s="40" t="s">
        <v>3</v>
      </c>
      <c r="G15" s="1"/>
    </row>
    <row r="16" spans="1:7" x14ac:dyDescent="0.45">
      <c r="A16" s="1"/>
      <c r="B16" s="80" t="s">
        <v>20</v>
      </c>
      <c r="C16" s="80"/>
      <c r="D16" s="80"/>
      <c r="E16" s="9">
        <f>SUM(E9:E15)</f>
        <v>2480997.1360912221</v>
      </c>
      <c r="F16" s="44" t="s">
        <v>3</v>
      </c>
      <c r="G16" s="1"/>
    </row>
    <row r="17" spans="1:7" x14ac:dyDescent="0.45">
      <c r="A17" s="1"/>
      <c r="B17" s="81" t="s">
        <v>12</v>
      </c>
      <c r="C17" s="81"/>
      <c r="D17" s="81"/>
      <c r="E17" s="43"/>
      <c r="F17" s="43"/>
      <c r="G17" s="1"/>
    </row>
    <row r="18" spans="1:7" x14ac:dyDescent="0.45">
      <c r="A18" s="1"/>
      <c r="B18" s="82" t="s">
        <v>12</v>
      </c>
      <c r="C18" s="82"/>
      <c r="D18" s="82"/>
      <c r="E18" s="9">
        <v>3091712.3896957203</v>
      </c>
      <c r="F18" s="44" t="s">
        <v>3</v>
      </c>
      <c r="G18" s="1"/>
    </row>
    <row r="19" spans="1:7" ht="15.4" customHeight="1" x14ac:dyDescent="0.45">
      <c r="A19" s="1"/>
      <c r="B19" s="43" t="s">
        <v>42</v>
      </c>
      <c r="C19" s="43"/>
      <c r="D19" s="43"/>
      <c r="E19" s="43"/>
      <c r="F19" s="43"/>
      <c r="G19" s="1"/>
    </row>
    <row r="20" spans="1:7" ht="15.75" customHeight="1" x14ac:dyDescent="0.45">
      <c r="A20" s="1"/>
      <c r="B20" s="83" t="s">
        <v>39</v>
      </c>
      <c r="C20" s="84"/>
      <c r="D20" s="85"/>
      <c r="E20" s="38">
        <v>0</v>
      </c>
      <c r="F20" s="32" t="s">
        <v>3</v>
      </c>
      <c r="G20" s="1"/>
    </row>
    <row r="21" spans="1:7" x14ac:dyDescent="0.45">
      <c r="A21" s="1"/>
      <c r="B21" s="83" t="s">
        <v>40</v>
      </c>
      <c r="C21" s="84"/>
      <c r="D21" s="85"/>
      <c r="E21" s="38">
        <v>0</v>
      </c>
      <c r="F21" s="32" t="s">
        <v>3</v>
      </c>
      <c r="G21" s="1"/>
    </row>
    <row r="22" spans="1:7" x14ac:dyDescent="0.45">
      <c r="A22" s="1"/>
      <c r="B22" s="86" t="s">
        <v>43</v>
      </c>
      <c r="C22" s="87"/>
      <c r="D22" s="88"/>
      <c r="E22" s="9">
        <v>0</v>
      </c>
      <c r="F22" s="9" t="s">
        <v>3</v>
      </c>
      <c r="G22" s="1"/>
    </row>
    <row r="23" spans="1:7" ht="15.75" customHeight="1" x14ac:dyDescent="0.45">
      <c r="A23" s="1"/>
      <c r="B23" s="43" t="s">
        <v>85</v>
      </c>
      <c r="C23" s="43"/>
      <c r="D23" s="43"/>
      <c r="E23" s="43"/>
      <c r="F23" s="43"/>
      <c r="G23" s="1"/>
    </row>
    <row r="24" spans="1:7" x14ac:dyDescent="0.45">
      <c r="A24" s="1"/>
      <c r="B24" s="51" t="s">
        <v>31</v>
      </c>
      <c r="C24" s="42"/>
      <c r="D24" s="42"/>
      <c r="E24" s="9">
        <v>-50236.350882923114</v>
      </c>
      <c r="F24" s="44" t="s">
        <v>3</v>
      </c>
      <c r="G24" s="1"/>
    </row>
    <row r="25" spans="1:7" x14ac:dyDescent="0.45">
      <c r="A25" s="1"/>
      <c r="B25" s="51" t="s">
        <v>86</v>
      </c>
      <c r="C25" s="42"/>
      <c r="D25" s="42"/>
      <c r="E25" s="9">
        <v>-53058.565823163372</v>
      </c>
      <c r="F25" s="44" t="s">
        <v>3</v>
      </c>
      <c r="G25" s="1"/>
    </row>
    <row r="26" spans="1:7" ht="15" customHeight="1" x14ac:dyDescent="0.45">
      <c r="A26" s="1"/>
      <c r="B26" s="43" t="s">
        <v>25</v>
      </c>
      <c r="C26" s="43"/>
      <c r="D26" s="43"/>
      <c r="E26" s="10">
        <f>E16+E18+E22+E24+E25</f>
        <v>5469414.6090808548</v>
      </c>
      <c r="F26" s="11" t="s">
        <v>3</v>
      </c>
      <c r="G26" s="1"/>
    </row>
    <row r="27" spans="1:7" ht="27" customHeight="1" x14ac:dyDescent="0.45">
      <c r="A27" s="1"/>
      <c r="B27" s="79" t="s">
        <v>120</v>
      </c>
      <c r="C27" s="79"/>
      <c r="D27" s="79"/>
      <c r="E27" s="79"/>
      <c r="F27" s="79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we9061zkw6AFUI1uODRvGypCFuqcTF/J2iqH92z/2E8Gey4YejjRGIrWn7xgkeIhUyxXyesYzn/4IpiaRG10mg==" saltValue="hSqaHHj79AGzRf4b1kt0E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53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107</v>
      </c>
      <c r="C8" s="90"/>
      <c r="D8" s="91"/>
      <c r="E8" s="1"/>
      <c r="F8" s="1"/>
    </row>
    <row r="9" spans="1:6" ht="15" customHeight="1" x14ac:dyDescent="0.45">
      <c r="A9" s="1"/>
      <c r="B9" s="17" t="s">
        <v>29</v>
      </c>
      <c r="C9" s="44" t="s">
        <v>106</v>
      </c>
      <c r="D9" s="44"/>
      <c r="E9" s="1"/>
      <c r="F9" s="1"/>
    </row>
    <row r="10" spans="1:6" x14ac:dyDescent="0.45">
      <c r="A10" s="1"/>
      <c r="B10" s="28" t="s">
        <v>132</v>
      </c>
      <c r="C10" s="8">
        <v>1925676</v>
      </c>
      <c r="D10" s="12" t="s">
        <v>3</v>
      </c>
      <c r="E10" s="1"/>
      <c r="F10" s="1"/>
    </row>
    <row r="11" spans="1:6" x14ac:dyDescent="0.45">
      <c r="A11" s="1"/>
      <c r="B11" s="28" t="s">
        <v>133</v>
      </c>
      <c r="C11" s="8">
        <v>4724.8</v>
      </c>
      <c r="D11" s="12" t="s">
        <v>3</v>
      </c>
      <c r="E11" s="1"/>
      <c r="F11" s="1"/>
    </row>
    <row r="12" spans="1:6" x14ac:dyDescent="0.45">
      <c r="A12" s="1"/>
      <c r="B12" s="28" t="s">
        <v>134</v>
      </c>
      <c r="C12" s="8">
        <v>1435846</v>
      </c>
      <c r="D12" s="12" t="s">
        <v>3</v>
      </c>
      <c r="E12" s="1"/>
      <c r="F12" s="1"/>
    </row>
    <row r="13" spans="1:6" x14ac:dyDescent="0.45">
      <c r="A13" s="1"/>
      <c r="B13" s="57" t="s">
        <v>108</v>
      </c>
      <c r="C13" s="10">
        <f>SUM(C10:C12)</f>
        <v>3366246.8</v>
      </c>
      <c r="D13" s="11" t="s">
        <v>3</v>
      </c>
      <c r="E13" s="1"/>
      <c r="F13" s="1"/>
    </row>
    <row r="14" spans="1:6" x14ac:dyDescent="0.45">
      <c r="A14" s="1"/>
      <c r="B14" s="57" t="s">
        <v>109</v>
      </c>
      <c r="C14" s="10">
        <f>C13*(1+'Fane 10. Nøgletal'!C14)^2</f>
        <v>3388500.6873076521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D+70MJis9BurceA9tsG4bhZUwni56jSXJjRKYgfqSw93x1e1QzzRcyyhdRoX4FFgZmGtnq8FT4Dn2w7ahwK+oA==" saltValue="Q17TnTCq9QCSuJnNFnWHP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6" t="s">
        <v>153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ht="15" customHeight="1" x14ac:dyDescent="0.45">
      <c r="A5" s="1"/>
      <c r="B5" s="39"/>
      <c r="C5" s="39"/>
      <c r="D5" s="39"/>
      <c r="E5" s="39"/>
      <c r="F5" s="39"/>
      <c r="G5" s="1"/>
    </row>
    <row r="6" spans="1:7" ht="15" customHeight="1" x14ac:dyDescent="0.45">
      <c r="A6" s="1"/>
      <c r="B6" s="39"/>
      <c r="C6" s="39"/>
      <c r="D6" s="39"/>
      <c r="E6" s="39"/>
      <c r="F6" s="39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136</v>
      </c>
      <c r="C8" s="90"/>
      <c r="D8" s="90"/>
      <c r="E8" s="90"/>
      <c r="F8" s="91"/>
      <c r="G8" s="1"/>
    </row>
    <row r="9" spans="1:7" x14ac:dyDescent="0.45">
      <c r="A9" s="1"/>
      <c r="B9" s="99" t="s">
        <v>137</v>
      </c>
      <c r="C9" s="100"/>
      <c r="D9" s="101"/>
      <c r="E9" s="8">
        <v>604480.75875219889</v>
      </c>
      <c r="F9" s="12" t="s">
        <v>3</v>
      </c>
      <c r="G9" s="1"/>
    </row>
    <row r="10" spans="1:7" x14ac:dyDescent="0.45">
      <c r="A10" s="1"/>
      <c r="B10" s="99" t="s">
        <v>138</v>
      </c>
      <c r="C10" s="100"/>
      <c r="D10" s="101"/>
      <c r="E10" s="8">
        <v>-28272.890398525633</v>
      </c>
      <c r="F10" s="12" t="s">
        <v>3</v>
      </c>
      <c r="G10" s="1"/>
    </row>
    <row r="11" spans="1:7" x14ac:dyDescent="0.45">
      <c r="A11" s="1"/>
      <c r="B11" s="99" t="s">
        <v>139</v>
      </c>
      <c r="C11" s="100"/>
      <c r="D11" s="101"/>
      <c r="E11" s="8">
        <v>-682325.28397065401</v>
      </c>
      <c r="F11" s="12" t="s">
        <v>3</v>
      </c>
      <c r="G11" s="1"/>
    </row>
    <row r="12" spans="1:7" x14ac:dyDescent="0.45">
      <c r="A12" s="1"/>
      <c r="B12" s="57"/>
      <c r="C12" s="22"/>
      <c r="D12" s="22"/>
      <c r="E12" s="22"/>
      <c r="F12" s="58"/>
      <c r="G12" s="1"/>
    </row>
    <row r="13" spans="1:7" ht="51.75" customHeight="1" x14ac:dyDescent="0.45">
      <c r="A13" s="1"/>
      <c r="B13" s="102" t="s">
        <v>140</v>
      </c>
      <c r="C13" s="103"/>
      <c r="D13" s="103"/>
      <c r="E13" s="103"/>
      <c r="F13" s="104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141</v>
      </c>
      <c r="C15" s="90"/>
      <c r="D15" s="90"/>
      <c r="E15" s="90"/>
      <c r="F15" s="91"/>
      <c r="G15" s="1"/>
    </row>
    <row r="16" spans="1:7" x14ac:dyDescent="0.45">
      <c r="A16" s="1"/>
      <c r="B16" s="99" t="s">
        <v>142</v>
      </c>
      <c r="C16" s="100"/>
      <c r="D16" s="101"/>
      <c r="E16" s="8">
        <v>-53058.565823163372</v>
      </c>
      <c r="F16" s="12" t="s">
        <v>3</v>
      </c>
      <c r="G16" s="1"/>
    </row>
    <row r="17" spans="1:7" x14ac:dyDescent="0.45">
      <c r="A17" s="1"/>
      <c r="B17" s="99" t="s">
        <v>143</v>
      </c>
      <c r="C17" s="100"/>
      <c r="D17" s="101"/>
      <c r="E17" s="8">
        <v>-53058.565823163372</v>
      </c>
      <c r="F17" s="12" t="s">
        <v>3</v>
      </c>
      <c r="G17" s="1"/>
    </row>
    <row r="18" spans="1:7" x14ac:dyDescent="0.45">
      <c r="A18" s="1"/>
      <c r="B18" s="57"/>
      <c r="C18" s="22"/>
      <c r="D18" s="22"/>
      <c r="E18" s="22"/>
      <c r="F18" s="58"/>
      <c r="G18" s="1"/>
    </row>
    <row r="19" spans="1:7" ht="29.25" customHeight="1" x14ac:dyDescent="0.45">
      <c r="A19" s="1"/>
      <c r="B19" s="102" t="s">
        <v>144</v>
      </c>
      <c r="C19" s="103"/>
      <c r="D19" s="103"/>
      <c r="E19" s="103"/>
      <c r="F19" s="104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8" t="s">
        <v>122</v>
      </c>
      <c r="C21" s="49"/>
      <c r="D21" s="49"/>
      <c r="E21" s="49"/>
      <c r="F21" s="50"/>
      <c r="G21" s="1"/>
    </row>
    <row r="22" spans="1:7" x14ac:dyDescent="0.45">
      <c r="A22" s="1"/>
      <c r="B22" s="52" t="s">
        <v>123</v>
      </c>
      <c r="C22" s="53"/>
      <c r="D22" s="54"/>
      <c r="E22" s="8">
        <v>4519564.4703544062</v>
      </c>
      <c r="F22" s="12" t="s">
        <v>3</v>
      </c>
      <c r="G22" s="1"/>
    </row>
    <row r="23" spans="1:7" x14ac:dyDescent="0.45">
      <c r="A23" s="1"/>
      <c r="B23" s="52" t="s">
        <v>124</v>
      </c>
      <c r="C23" s="53"/>
      <c r="D23" s="54"/>
      <c r="E23" s="8">
        <v>5614819</v>
      </c>
      <c r="F23" s="12" t="s">
        <v>3</v>
      </c>
      <c r="G23" s="1"/>
    </row>
    <row r="24" spans="1:7" x14ac:dyDescent="0.45">
      <c r="A24" s="1"/>
      <c r="B24" s="52" t="s">
        <v>30</v>
      </c>
      <c r="C24" s="53"/>
      <c r="D24" s="54"/>
      <c r="E24" s="8">
        <v>0</v>
      </c>
      <c r="F24" s="12" t="s">
        <v>3</v>
      </c>
      <c r="G24" s="1"/>
    </row>
    <row r="25" spans="1:7" x14ac:dyDescent="0.45">
      <c r="A25" s="1"/>
      <c r="B25" s="45" t="s">
        <v>125</v>
      </c>
      <c r="C25" s="46"/>
      <c r="D25" s="47"/>
      <c r="E25" s="34">
        <f>E22-(E23-E24)</f>
        <v>-1095254.5296455938</v>
      </c>
      <c r="F25" s="15" t="s">
        <v>3</v>
      </c>
      <c r="G25" s="1"/>
    </row>
    <row r="26" spans="1:7" x14ac:dyDescent="0.45">
      <c r="A26" s="1"/>
      <c r="B26" s="57"/>
      <c r="C26" s="22"/>
      <c r="D26" s="22"/>
      <c r="E26" s="22"/>
      <c r="F26" s="58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9" t="s">
        <v>145</v>
      </c>
      <c r="C28" s="90"/>
      <c r="D28" s="90"/>
      <c r="E28" s="90"/>
      <c r="F28" s="91"/>
      <c r="G28" s="1"/>
    </row>
    <row r="29" spans="1:7" x14ac:dyDescent="0.45">
      <c r="A29" s="1"/>
      <c r="B29" s="86" t="s">
        <v>146</v>
      </c>
      <c r="C29" s="87"/>
      <c r="D29" s="88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9"/>
      <c r="C30" s="90"/>
      <c r="D30" s="90"/>
      <c r="E30" s="90"/>
      <c r="F30" s="9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147</v>
      </c>
      <c r="C32" s="90"/>
      <c r="D32" s="90"/>
      <c r="E32" s="90"/>
      <c r="F32" s="91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-1095254.5296455938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8" t="s">
        <v>148</v>
      </c>
      <c r="C35" s="98"/>
      <c r="D35" s="98"/>
      <c r="E35" s="9">
        <f>E33/E34</f>
        <v>-273813.63241139846</v>
      </c>
      <c r="F35" s="15" t="s">
        <v>3</v>
      </c>
      <c r="G35" s="1"/>
    </row>
    <row r="36" spans="1:7" x14ac:dyDescent="0.45">
      <c r="A36" s="1"/>
      <c r="B36" s="92"/>
      <c r="C36" s="93"/>
      <c r="D36" s="93"/>
      <c r="E36" s="93"/>
      <c r="F36" s="94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6rI3qmeuSBK+39pgoEt0JWH+7qCH2HdIM5OePj0zlXxltTlkgI8MsWdQEk9z7zp7alun4QWRrdSVeDkIAEBjaw==" saltValue="ZPrz1rV+bKYRKr5mwSqV5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  <mergeCell ref="B36:F36"/>
    <mergeCell ref="B34:D34"/>
    <mergeCell ref="B33:D33"/>
    <mergeCell ref="B32:F32"/>
    <mergeCell ref="B35:D3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4" t="s">
        <v>2</v>
      </c>
      <c r="F9" s="44" t="s">
        <v>11</v>
      </c>
      <c r="G9" s="44" t="s">
        <v>27</v>
      </c>
      <c r="H9" s="56"/>
      <c r="I9" s="1"/>
    </row>
    <row r="10" spans="1:9" x14ac:dyDescent="0.45">
      <c r="A10" s="1"/>
      <c r="B10" s="35" t="s">
        <v>152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SYeEe8fAK6X96fyqj6Dlxo1rMqxW+PBRL7/ygWYeuJAmnDNgHkdgDlpRwR4xdLu5OY6tUYxq+FKrjFOjP0MOQ==" saltValue="ZMLpnd9JLQbTCzj2YKk9J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2021-08-18T23:29:08Z</dcterms:modified>
</cp:coreProperties>
</file>