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Hedensted Spildevand (S036)\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C15"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6"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<sst xmlns="http://schemas.openxmlformats.org/spreadsheetml/2006/main" count="609" uniqueCount="290">
  <si>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</si>
  <si>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</si>
  <si>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</si>
  <si>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</si>
  <si>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</si>
  <si>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</si>
  <si>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</si>
  <si>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</si>
  <si>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</si>
  <si>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</si>
  <si>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</si>
  <si>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</si>
  <si>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</si>
  <si>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</si>
  <si>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</si>
  <si>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</si>
  <si>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</si>
  <si>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</si>
  <si>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</si>
  <si>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</si>
  <si>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</si>
  <si>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</si>
  <si>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</si>
  <si>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</si>
  <si>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</si>
  <si>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</si>
  <si>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</si>
  <si>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</si>
  <si>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</si>
  <si>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</si>
  <si>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</si>
  <si>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</si>
  <si>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</si>
  <si>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</si>
  <si>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</si>
  <si>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</si>
  <si>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</si>
  <si>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</si>
  <si>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</si>
  <si>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</si>
  <si>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</si>
  <si>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</si>
  <si>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</si>
  <si>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</si>
  <si>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</si>
  <si>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</si>
  <si>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</si>
  <si>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</si>
  <si>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</si>
  <si>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</si>
  <si>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</si>
  <si>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</si>
  <si>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</si>
  <si>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</si>
  <si>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</si>
  <si>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</si>
  <si>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</si>
  <si>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</si>
  <si>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</si>
  <si>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</si>
  <si>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</si>
  <si>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</si>
  <si>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</si>
  <si>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</si>
  <si>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</si>
  <si>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</si>
  <si>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</si>
  <si>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</si>
  <si>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</si>
  <si>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</si>
  <si>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</si>
  <si>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</si>
  <si>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</si>
  <si>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</si>
  <si>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</si>
  <si>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</si>
  <si>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</si>
  <si>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</si>
  <si>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</si>
  <si>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</si>
  <si>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</si>
  <si>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</si>
  <si>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</si>
  <si>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</si>
  <si>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</si>
  <si>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</si>
  <si>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</si>
  <si>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</si>
  <si>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</si>
  <si>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</si>
  <si>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</si>
  <si>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</si>
  <si>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</si>
  <si>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</si>
  <si>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</si>
  <si>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</si>
  <si>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</si>
  <si>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</si>
  <si>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</si>
  <si>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</si>
  <si>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</si>
  <si>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</si>
  <si>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</si>
  <si>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</si>
  <si>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</si>
  <si>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</si>
  <si>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</si>
  <si>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</si>
  <si>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</si>
  <si>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</si>
  <si>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</si>
  <si>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</si>
  <si>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</si>
  <si>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</si>
  <si>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</si>
  <si>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</si>
  <si>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</si>
  <si>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</si>
  <si>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</si>
  <si>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</si>
  <si>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</si>
  <si>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</si>
  <si>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</si>
  <si>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</si>
  <si>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</si>
  <si>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</si>
  <si>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</si>
  <si>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</si>
  <si>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</si>
  <si>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</si>
  <si>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</si>
  <si>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</si>
  <si>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</si>
  <si>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</si>
  <si>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</si>
  <si>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</si>
  <si>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</si>
  <si>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</si>
  <si>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</si>
  <si>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</si>
  <si>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</si>
  <si>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</si>
  <si>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</si>
  <si>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</si>
  <si>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</si>
  <si>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</si>
  <si>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</si>
  <si>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</si>
  <si>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</si>
  <si>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</si>
  <si>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</si>
  <si>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</si>
  <si>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</si>
  <si>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</si>
  <si>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</si>
  <si>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</si>
  <si>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</si>
  <si>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</si>
  <si>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</si>
  <si>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</si>
  <si>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</si>
  <si>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</si>
  <si>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</si>
  <si>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</si>
  <si>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</si>
  <si>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</si>
  <si>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</si>
  <si>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</si>
  <si>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</si>
  <si>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</si>
  <si>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</si>
  <si>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</si>
  <si>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</si>
  <si>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</si>
  <si>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</si>
  <si>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</si>
  <si>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</si>
  <si>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</si>
  <si>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</si>
  <si>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</si>
  <si>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</si>
  <si>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</si>
  <si>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</si>
  <si>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</si>
  <si>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</si>
  <si>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</si>
  <si>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</si>
  <si>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</si>
  <si>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</si>
  <si>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</si>
  <si>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</si>
  <si>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</si>
  <si>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</si>
  <si>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</si>
  <si>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</si>
  <si>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</si>
  <si>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</si>
  <si>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</si>
  <si>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</si>
  <si>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</si>
  <si>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</si>
  <si>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</si>
  <si>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</si>
  <si>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</si>
  <si>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</si>
  <si>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</si>
  <si>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</si>
  <si>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</si>
  <si>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</si>
  <si>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</si>
  <si>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</si>
  <si>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</si>
  <si>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</si>
  <si>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</si>
  <si>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</si>
  <si>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</si>
  <si>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</si>
  <si>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</si>
  <si>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</si>
  <si>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</si>
  <si>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</si>
  <si>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</si>
  <si>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</si>
  <si>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</si>
  <si>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</si>
  <si>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</si>
  <si>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</si>
  <si>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</si>
  <si>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</si>
  <si>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</si>
  <si>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</si>
  <si>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</si>
  <si>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</si>
  <si>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</si>
  <si>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</si>
  <si>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</si>
  <si>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</si>
  <si>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</si>
  <si>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</si>
  <si>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</si>
  <si>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</si>
  <si>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</si>
  <si>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</si>
  <si>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</si>
  <si>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</si>
  <si>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</si>
  <si>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</si>
  <si>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</si>
  <si>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</si>
  <si>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</si>
  <si>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</si>
  <si>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</si>
  <si>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</si>
  <si>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</si>
  <si>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</si>
  <si>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</si>
  <si>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</si>
  <si>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</si>
  <si>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</si>
  <si>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</si>
  <si>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</si>
  <si>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</si>
  <si>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</si>
  <si>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</si>
  <si>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</si>
  <si>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</si>
  <si>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</si>
  <si>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</si>
  <si>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</si>
  <si>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Erstatninger</t>
  </si>
  <si>
    <t>Resultat af kontrol med overholdelse af den økonomiske ramme for 2021</t>
  </si>
  <si>
    <t>Nye tillæg</t>
  </si>
  <si>
    <t>Ingen engangstillæg</t>
  </si>
  <si>
    <t>Ingen anlægsprojekter</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</si>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</sst>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5" t="s">
        <v>4</v>
      </c>
      <c r="E6" s="105"/>
      <c r="F6" s="105"/>
      <c r="G6" s="105"/>
      <c r="H6" s="3"/>
      <c r="I6" s="1"/>
    </row>
    <row r="7" spans="1:9" ht="15" customHeight="1" x14ac:dyDescent="0.25">
      <c r="A7" s="1"/>
      <c r="B7" s="1"/>
      <c r="C7" s="3"/>
      <c r="D7" s="105"/>
      <c r="E7" s="105"/>
      <c r="F7" s="105"/>
      <c r="G7" s="105"/>
      <c r="H7" s="3"/>
      <c r="I7" s="1"/>
    </row>
    <row r="8" spans="1:9" ht="15.75" x14ac:dyDescent="0.25">
      <c r="A8" s="1"/>
      <c r="B8" s="1"/>
      <c r="C8" s="4"/>
      <c r="D8" s="113" t="s">
        <v>225</v>
      </c>
      <c r="E8" s="113"/>
      <c r="F8" s="113"/>
      <c r="G8" s="113"/>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2" t="s">
        <v>5</v>
      </c>
      <c r="E11" s="112"/>
      <c r="F11" s="112"/>
      <c r="G11" s="112"/>
      <c r="H11" s="5"/>
      <c r="I11" s="1"/>
    </row>
    <row r="12" spans="1:9" x14ac:dyDescent="0.25">
      <c r="A12" s="1"/>
      <c r="B12" s="1"/>
      <c r="C12" s="1"/>
      <c r="D12" s="1"/>
      <c r="E12" s="1"/>
      <c r="F12" s="1"/>
      <c r="G12" s="1"/>
      <c r="H12" s="5"/>
      <c r="I12" s="1"/>
    </row>
    <row r="13" spans="1:9" x14ac:dyDescent="0.25">
      <c r="A13" s="1"/>
      <c r="B13" s="1"/>
      <c r="C13" s="6" t="s">
        <v>6</v>
      </c>
      <c r="D13" s="117" t="s">
        <v>169</v>
      </c>
      <c r="E13" s="118"/>
      <c r="F13" s="118"/>
      <c r="G13" s="119"/>
      <c r="H13" s="5"/>
      <c r="I13" s="1"/>
    </row>
    <row r="14" spans="1:9" x14ac:dyDescent="0.25">
      <c r="A14" s="1"/>
      <c r="B14" s="1"/>
      <c r="C14" s="6" t="s">
        <v>16</v>
      </c>
      <c r="D14" s="102" t="s">
        <v>235</v>
      </c>
      <c r="E14" s="103"/>
      <c r="F14" s="103"/>
      <c r="G14" s="104"/>
      <c r="H14" s="5"/>
      <c r="I14" s="1"/>
    </row>
    <row r="15" spans="1:9" x14ac:dyDescent="0.25">
      <c r="A15" s="1"/>
      <c r="B15" s="1"/>
      <c r="C15" s="6" t="s">
        <v>34</v>
      </c>
      <c r="D15" s="102" t="s">
        <v>170</v>
      </c>
      <c r="E15" s="103"/>
      <c r="F15" s="103"/>
      <c r="G15" s="104"/>
      <c r="H15" s="5"/>
      <c r="I15" s="1"/>
    </row>
    <row r="16" spans="1:9" x14ac:dyDescent="0.25">
      <c r="A16" s="1"/>
      <c r="B16" s="1"/>
      <c r="C16" s="6" t="s">
        <v>35</v>
      </c>
      <c r="D16" s="102" t="s">
        <v>182</v>
      </c>
      <c r="E16" s="103"/>
      <c r="F16" s="103"/>
      <c r="G16" s="104"/>
      <c r="H16" s="5"/>
      <c r="I16" s="1"/>
    </row>
    <row r="17" spans="1:9" x14ac:dyDescent="0.25">
      <c r="A17" s="1"/>
      <c r="B17" s="1"/>
      <c r="C17" s="6" t="s">
        <v>119</v>
      </c>
      <c r="D17" s="102" t="s">
        <v>183</v>
      </c>
      <c r="E17" s="103"/>
      <c r="F17" s="103"/>
      <c r="G17" s="104"/>
      <c r="H17" s="5"/>
      <c r="I17" s="1"/>
    </row>
    <row r="18" spans="1:9" x14ac:dyDescent="0.25">
      <c r="A18" s="1"/>
      <c r="B18" s="1"/>
      <c r="C18" s="6" t="s">
        <v>106</v>
      </c>
      <c r="D18" s="114" t="s">
        <v>95</v>
      </c>
      <c r="E18" s="115"/>
      <c r="F18" s="115"/>
      <c r="G18" s="116"/>
      <c r="H18" s="5"/>
      <c r="I18" s="1"/>
    </row>
    <row r="19" spans="1:9" x14ac:dyDescent="0.25">
      <c r="A19" s="1"/>
      <c r="B19" s="1"/>
      <c r="C19" s="6" t="s">
        <v>107</v>
      </c>
      <c r="D19" s="114" t="s">
        <v>96</v>
      </c>
      <c r="E19" s="115"/>
      <c r="F19" s="115"/>
      <c r="G19" s="116"/>
      <c r="H19" s="5"/>
      <c r="I19" s="1"/>
    </row>
    <row r="20" spans="1:9" x14ac:dyDescent="0.25">
      <c r="A20" s="1"/>
      <c r="B20" s="1"/>
      <c r="C20" s="6" t="s">
        <v>7</v>
      </c>
      <c r="D20" s="114" t="s">
        <v>10</v>
      </c>
      <c r="E20" s="115"/>
      <c r="F20" s="115"/>
      <c r="G20" s="116"/>
      <c r="H20" s="5"/>
      <c r="I20" s="1"/>
    </row>
    <row r="21" spans="1:9" x14ac:dyDescent="0.25">
      <c r="A21" s="1"/>
      <c r="B21" s="1"/>
      <c r="C21" s="6" t="s">
        <v>108</v>
      </c>
      <c r="D21" s="106" t="s">
        <v>12</v>
      </c>
      <c r="E21" s="107"/>
      <c r="F21" s="107"/>
      <c r="G21" s="108"/>
      <c r="H21" s="5"/>
      <c r="I21" s="1"/>
    </row>
    <row r="22" spans="1:9" x14ac:dyDescent="0.25">
      <c r="A22" s="1"/>
      <c r="B22" s="1"/>
      <c r="C22" s="6" t="s">
        <v>83</v>
      </c>
      <c r="D22" s="109" t="s">
        <v>184</v>
      </c>
      <c r="E22" s="110"/>
      <c r="F22" s="110"/>
      <c r="G22" s="111"/>
      <c r="H22" s="5"/>
      <c r="I22" s="1"/>
    </row>
    <row r="23" spans="1:9" x14ac:dyDescent="0.25">
      <c r="A23" s="1"/>
      <c r="B23" s="1"/>
      <c r="C23" s="6" t="s">
        <v>8</v>
      </c>
      <c r="D23" s="109" t="s">
        <v>253</v>
      </c>
      <c r="E23" s="110"/>
      <c r="F23" s="110"/>
      <c r="G23" s="111"/>
      <c r="H23" s="5"/>
      <c r="I23" s="1"/>
    </row>
    <row r="24" spans="1:9" x14ac:dyDescent="0.25">
      <c r="A24" s="1"/>
      <c r="B24" s="1"/>
      <c r="C24" s="6" t="s">
        <v>9</v>
      </c>
      <c r="D24" s="109" t="s">
        <v>185</v>
      </c>
      <c r="E24" s="110"/>
      <c r="F24" s="110"/>
      <c r="G24" s="111"/>
      <c r="H24" s="5"/>
      <c r="I24" s="1"/>
    </row>
    <row r="25" spans="1:9" x14ac:dyDescent="0.25">
      <c r="A25" s="1"/>
      <c r="B25" s="1"/>
      <c r="C25" s="6" t="s">
        <v>246</v>
      </c>
      <c r="D25" s="109" t="s">
        <v>237</v>
      </c>
      <c r="E25" s="110"/>
      <c r="F25" s="110"/>
      <c r="G25" s="111"/>
      <c r="H25" s="1"/>
      <c r="I25" s="1"/>
    </row>
    <row r="26" spans="1:9" x14ac:dyDescent="0.25">
      <c r="A26" s="1"/>
      <c r="B26" s="1"/>
      <c r="C26" s="6" t="s">
        <v>247</v>
      </c>
      <c r="D26" s="109" t="s">
        <v>84</v>
      </c>
      <c r="E26" s="110"/>
      <c r="F26" s="110"/>
      <c r="G26" s="111"/>
      <c r="H26" s="1"/>
      <c r="I26" s="1"/>
    </row>
    <row r="27" spans="1:9" x14ac:dyDescent="0.25">
      <c r="A27" s="1"/>
      <c r="B27" s="1"/>
      <c r="C27" s="6" t="s">
        <v>248</v>
      </c>
      <c r="D27" s="109" t="s">
        <v>85</v>
      </c>
      <c r="E27" s="110"/>
      <c r="F27" s="110"/>
      <c r="G27" s="111"/>
      <c r="H27" s="1"/>
      <c r="I27" s="1"/>
    </row>
    <row r="28" spans="1:9" x14ac:dyDescent="0.25">
      <c r="A28" s="1"/>
      <c r="B28" s="1"/>
      <c r="C28" s="6" t="s">
        <v>15</v>
      </c>
      <c r="D28" s="109" t="s">
        <v>86</v>
      </c>
      <c r="E28" s="110"/>
      <c r="F28" s="110"/>
      <c r="G28" s="111"/>
      <c r="H28" s="1"/>
      <c r="I28" s="1"/>
    </row>
    <row r="29" spans="1:9" x14ac:dyDescent="0.25">
      <c r="A29" s="1"/>
      <c r="B29" s="1"/>
      <c r="C29" s="6" t="s">
        <v>37</v>
      </c>
      <c r="D29" s="109" t="s">
        <v>134</v>
      </c>
      <c r="E29" s="110"/>
      <c r="F29" s="110"/>
      <c r="G29" s="111"/>
      <c r="H29" s="1"/>
      <c r="I29" s="1"/>
    </row>
    <row r="30" spans="1:9" x14ac:dyDescent="0.25">
      <c r="A30" s="1"/>
      <c r="B30" s="1"/>
      <c r="C30" s="6" t="s">
        <v>38</v>
      </c>
      <c r="D30" s="109" t="s">
        <v>36</v>
      </c>
      <c r="E30" s="110"/>
      <c r="F30" s="110"/>
      <c r="G30" s="111"/>
      <c r="H30" s="1"/>
      <c r="I30" s="1"/>
    </row>
    <row r="31" spans="1:9" x14ac:dyDescent="0.25">
      <c r="A31" s="1"/>
      <c r="B31" s="1"/>
      <c r="C31" s="6" t="s">
        <v>249</v>
      </c>
      <c r="D31" s="120" t="s">
        <v>105</v>
      </c>
      <c r="E31" s="121"/>
      <c r="F31" s="121"/>
      <c r="G31" s="122"/>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hSehjE9T5kOsM57LVSFebkrGd2Mqb6Cio+Zj/QclBQ7laem/BRQTC6bUNTueM1wkx6UPxCUMSmZs5ql8sNixYQ==" saltValue="zETd41D5/KsorpyVNgbft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3" t="s">
        <v>111</v>
      </c>
      <c r="C3" s="123"/>
      <c r="D3" s="123"/>
      <c r="E3" s="1"/>
      <c r="F3" s="1"/>
    </row>
    <row r="4" spans="1:6" ht="15" customHeight="1" x14ac:dyDescent="0.25">
      <c r="A4" s="1"/>
      <c r="B4" s="123"/>
      <c r="C4" s="123"/>
      <c r="D4" s="12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1147775</v>
      </c>
      <c r="D10" s="14" t="s">
        <v>3</v>
      </c>
      <c r="E10" s="1"/>
      <c r="F10" s="1"/>
    </row>
    <row r="11" spans="1:6" x14ac:dyDescent="0.25">
      <c r="A11" s="1"/>
      <c r="B11" s="94" t="s">
        <v>266</v>
      </c>
      <c r="C11" s="9">
        <v>102571</v>
      </c>
      <c r="D11" s="14" t="s">
        <v>3</v>
      </c>
      <c r="E11" s="1"/>
      <c r="F11" s="1"/>
    </row>
    <row r="12" spans="1:6" x14ac:dyDescent="0.25">
      <c r="A12" s="1"/>
      <c r="B12" s="94" t="s">
        <v>267</v>
      </c>
      <c r="C12" s="9">
        <v>140077</v>
      </c>
      <c r="D12" s="14" t="s">
        <v>3</v>
      </c>
      <c r="E12" s="1"/>
      <c r="F12" s="1"/>
    </row>
    <row r="13" spans="1:6" x14ac:dyDescent="0.25">
      <c r="A13" s="1"/>
      <c r="B13" s="94" t="s">
        <v>268</v>
      </c>
      <c r="C13" s="9">
        <v>202052</v>
      </c>
      <c r="D13" s="14" t="s">
        <v>3</v>
      </c>
      <c r="E13" s="1"/>
      <c r="F13" s="1"/>
    </row>
    <row r="14" spans="1:6" x14ac:dyDescent="0.25">
      <c r="A14" s="1"/>
      <c r="B14" s="94" t="s">
        <v>269</v>
      </c>
      <c r="C14" s="9">
        <v>217363</v>
      </c>
      <c r="D14" s="14" t="s">
        <v>3</v>
      </c>
      <c r="E14" s="1"/>
      <c r="F14" s="1"/>
    </row>
    <row r="15" spans="1:6" x14ac:dyDescent="0.25">
      <c r="A15" s="1"/>
      <c r="B15" s="32" t="s">
        <v>200</v>
      </c>
      <c r="C15" s="12">
        <f>SUM(C10:C14)</f>
        <v>1809838</v>
      </c>
      <c r="D15" s="13" t="s">
        <v>3</v>
      </c>
      <c r="E15" s="1"/>
      <c r="F15" s="1"/>
    </row>
    <row r="16" spans="1:6" x14ac:dyDescent="0.25">
      <c r="A16" s="1"/>
      <c r="B16" s="32" t="s">
        <v>201</v>
      </c>
      <c r="C16" s="12">
        <f>C15*(1+'Fane 15. Nøgletal'!C15)^2</f>
        <v>1940992.1818876802</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31" t="s">
        <v>117</v>
      </c>
      <c r="C19" s="132"/>
      <c r="D19" s="133"/>
      <c r="E19" s="1"/>
      <c r="F19" s="1"/>
    </row>
    <row r="20" spans="1:6" x14ac:dyDescent="0.25">
      <c r="A20" s="1"/>
      <c r="B20" s="94" t="s">
        <v>99</v>
      </c>
      <c r="C20" s="9">
        <v>0</v>
      </c>
      <c r="D20" s="14" t="s">
        <v>3</v>
      </c>
      <c r="E20" s="1"/>
      <c r="F20" s="1"/>
    </row>
    <row r="21" spans="1:6" x14ac:dyDescent="0.25">
      <c r="A21" s="1"/>
      <c r="B21" s="94" t="s">
        <v>129</v>
      </c>
      <c r="C21" s="9">
        <v>0</v>
      </c>
      <c r="D21" s="14" t="s">
        <v>3</v>
      </c>
      <c r="E21" s="1"/>
      <c r="F21" s="1"/>
    </row>
    <row r="22" spans="1:6" x14ac:dyDescent="0.25">
      <c r="A22" s="1"/>
      <c r="B22" s="94" t="s">
        <v>155</v>
      </c>
      <c r="C22" s="9">
        <v>0</v>
      </c>
      <c r="D22" s="14" t="s">
        <v>3</v>
      </c>
      <c r="E22" s="1"/>
      <c r="F22" s="1"/>
    </row>
    <row r="23" spans="1:6" x14ac:dyDescent="0.25">
      <c r="A23" s="1"/>
      <c r="B23" s="33" t="s">
        <v>202</v>
      </c>
      <c r="C23" s="9">
        <v>0</v>
      </c>
      <c r="D23" s="40" t="s">
        <v>3</v>
      </c>
      <c r="E23" s="1"/>
      <c r="F23" s="1"/>
    </row>
    <row r="24" spans="1:6" x14ac:dyDescent="0.25">
      <c r="A24" s="1"/>
      <c r="B24" s="131"/>
      <c r="C24" s="132"/>
      <c r="D24" s="133"/>
      <c r="E24" s="1"/>
      <c r="F24" s="1"/>
    </row>
    <row r="25" spans="1:6" x14ac:dyDescent="0.25">
      <c r="A25" s="1"/>
      <c r="B25" s="1"/>
      <c r="C25" s="1"/>
      <c r="D25" s="1"/>
      <c r="E25" s="1"/>
      <c r="F25" s="1"/>
    </row>
    <row r="26" spans="1:6" x14ac:dyDescent="0.25">
      <c r="A26" s="1"/>
      <c r="B26" s="1"/>
      <c r="C26" s="1"/>
      <c r="D26" s="1"/>
      <c r="E26" s="1"/>
      <c r="F26" s="1"/>
    </row>
    <row r="27" spans="1:6" x14ac:dyDescent="0.25">
      <c r="A27" s="1"/>
      <c r="B27" s="131" t="s">
        <v>98</v>
      </c>
      <c r="C27" s="132"/>
      <c r="D27" s="133"/>
      <c r="E27" s="1"/>
      <c r="F27" s="1"/>
    </row>
    <row r="28" spans="1:6" x14ac:dyDescent="0.25">
      <c r="A28" s="1"/>
      <c r="B28" s="94" t="s">
        <v>99</v>
      </c>
      <c r="C28" s="9">
        <v>0</v>
      </c>
      <c r="D28" s="14" t="s">
        <v>3</v>
      </c>
      <c r="E28" s="1"/>
      <c r="F28" s="1"/>
    </row>
    <row r="29" spans="1:6" x14ac:dyDescent="0.25">
      <c r="A29" s="1"/>
      <c r="B29" s="94" t="s">
        <v>129</v>
      </c>
      <c r="C29" s="9">
        <v>0</v>
      </c>
      <c r="D29" s="14" t="s">
        <v>3</v>
      </c>
      <c r="E29" s="1"/>
      <c r="F29" s="1"/>
    </row>
    <row r="30" spans="1:6" x14ac:dyDescent="0.25">
      <c r="A30" s="1"/>
      <c r="B30" s="94" t="s">
        <v>155</v>
      </c>
      <c r="C30" s="9">
        <v>0</v>
      </c>
      <c r="D30" s="14" t="s">
        <v>3</v>
      </c>
      <c r="E30" s="1"/>
      <c r="F30" s="1"/>
    </row>
    <row r="31" spans="1:6" x14ac:dyDescent="0.25">
      <c r="A31" s="1"/>
      <c r="B31" s="33" t="s">
        <v>202</v>
      </c>
      <c r="C31" s="9">
        <v>0</v>
      </c>
      <c r="D31" s="40" t="s">
        <v>3</v>
      </c>
      <c r="E31" s="1"/>
      <c r="F31" s="1"/>
    </row>
    <row r="32" spans="1:6" x14ac:dyDescent="0.25">
      <c r="A32" s="1"/>
      <c r="B32" s="131"/>
      <c r="C32" s="132"/>
      <c r="D32" s="133"/>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row r="52" spans="1:6" x14ac:dyDescent="0.25">
      <c r="A52" s="49"/>
      <c r="B52" s="49"/>
      <c r="C52" s="49"/>
      <c r="D52" s="49"/>
      <c r="E52" s="49"/>
      <c r="F52" s="49"/>
    </row>
  </sheetData>
  <sheetProtection algorithmName="SHA-512" hashValue="vKMYqsXahqoQbdebyMSEoAMbjyWTEUd9HC6665dim0Hm6Ub2JVDfvung3brVuYDhm+gfsUIh65ebijygahQpHg==" saltValue="HSunAvdb5VTWBpprmdNxSQ=="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0.7109375" style="2" customWidth="1"/>
    <col min="5" max="5" width="15.7109375" style="2"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203</v>
      </c>
      <c r="C3" s="139"/>
      <c r="D3" s="139"/>
      <c r="E3" s="139"/>
      <c r="F3" s="139"/>
      <c r="G3" s="1"/>
    </row>
    <row r="4" spans="1:7" ht="15" customHeight="1" x14ac:dyDescent="0.25">
      <c r="A4" s="1"/>
      <c r="B4" s="139"/>
      <c r="C4" s="139"/>
      <c r="D4" s="139"/>
      <c r="E4" s="139"/>
      <c r="F4" s="139"/>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41" t="s">
        <v>204</v>
      </c>
      <c r="C9" s="142"/>
      <c r="D9" s="143"/>
      <c r="E9" s="9">
        <v>9849874.19560197</v>
      </c>
      <c r="F9" s="14" t="s">
        <v>3</v>
      </c>
      <c r="G9" s="1"/>
    </row>
    <row r="10" spans="1:7" x14ac:dyDescent="0.25">
      <c r="A10" s="1"/>
      <c r="B10" s="141" t="s">
        <v>263</v>
      </c>
      <c r="C10" s="142"/>
      <c r="D10" s="143"/>
      <c r="E10" s="9">
        <v>9849874.19560197</v>
      </c>
      <c r="F10" s="14" t="s">
        <v>3</v>
      </c>
      <c r="G10" s="1"/>
    </row>
    <row r="11" spans="1:7" x14ac:dyDescent="0.25">
      <c r="A11" s="1"/>
      <c r="B11" s="32"/>
      <c r="C11" s="27"/>
      <c r="D11" s="27"/>
      <c r="E11" s="27"/>
      <c r="F11" s="19"/>
      <c r="G11" s="1"/>
    </row>
    <row r="12" spans="1:7" ht="82.5" customHeight="1" x14ac:dyDescent="0.25">
      <c r="A12" s="1"/>
      <c r="B12" s="134" t="s">
        <v>288</v>
      </c>
      <c r="C12" s="135"/>
      <c r="D12" s="135"/>
      <c r="E12" s="135"/>
      <c r="F12" s="136"/>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41" t="s">
        <v>283</v>
      </c>
      <c r="C15" s="142"/>
      <c r="D15" s="143"/>
      <c r="E15" s="9">
        <v>0</v>
      </c>
      <c r="F15" s="14" t="s">
        <v>3</v>
      </c>
      <c r="G15" s="1"/>
    </row>
    <row r="16" spans="1:7" x14ac:dyDescent="0.25">
      <c r="A16" s="1"/>
      <c r="B16" s="141" t="s">
        <v>284</v>
      </c>
      <c r="C16" s="142"/>
      <c r="D16" s="143"/>
      <c r="E16" s="9">
        <v>0</v>
      </c>
      <c r="F16" s="14" t="s">
        <v>3</v>
      </c>
      <c r="G16" s="1"/>
    </row>
    <row r="17" spans="1:7" x14ac:dyDescent="0.25">
      <c r="A17" s="1"/>
      <c r="B17" s="32"/>
      <c r="C17" s="27"/>
      <c r="D17" s="27"/>
      <c r="E17" s="27"/>
      <c r="F17" s="19"/>
      <c r="G17" s="1"/>
    </row>
    <row r="18" spans="1:7" ht="31.5" customHeight="1" x14ac:dyDescent="0.25">
      <c r="A18" s="1"/>
      <c r="B18" s="134" t="s">
        <v>289</v>
      </c>
      <c r="C18" s="135"/>
      <c r="D18" s="135"/>
      <c r="E18" s="135"/>
      <c r="F18" s="136"/>
      <c r="G18" s="1"/>
    </row>
    <row r="19" spans="1:7" ht="28.5" customHeight="1" x14ac:dyDescent="0.25">
      <c r="A19" s="1"/>
      <c r="B19" s="1"/>
      <c r="C19" s="1"/>
      <c r="D19" s="1"/>
      <c r="E19" s="1"/>
      <c r="F19" s="1"/>
      <c r="G19" s="1"/>
    </row>
    <row r="20" spans="1:7" ht="28.5" customHeight="1" x14ac:dyDescent="0.25">
      <c r="A20" s="1"/>
      <c r="B20" s="86" t="s">
        <v>205</v>
      </c>
      <c r="C20" s="87"/>
      <c r="D20" s="87"/>
      <c r="E20" s="87"/>
      <c r="F20" s="88"/>
      <c r="G20" s="1"/>
    </row>
    <row r="21" spans="1:7" x14ac:dyDescent="0.25">
      <c r="A21" s="1"/>
      <c r="B21" s="91" t="s">
        <v>206</v>
      </c>
      <c r="C21" s="92"/>
      <c r="D21" s="93"/>
      <c r="E21" s="9">
        <v>97914902.866415635</v>
      </c>
      <c r="F21" s="14" t="s">
        <v>3</v>
      </c>
      <c r="G21" s="1"/>
    </row>
    <row r="22" spans="1:7" x14ac:dyDescent="0.25">
      <c r="A22" s="1"/>
      <c r="B22" s="91" t="s">
        <v>207</v>
      </c>
      <c r="C22" s="92"/>
      <c r="D22" s="93"/>
      <c r="E22" s="9">
        <v>112351906</v>
      </c>
      <c r="F22" s="14" t="s">
        <v>3</v>
      </c>
      <c r="G22" s="1"/>
    </row>
    <row r="23" spans="1:7" x14ac:dyDescent="0.25">
      <c r="A23" s="1"/>
      <c r="B23" s="91" t="s">
        <v>33</v>
      </c>
      <c r="C23" s="92"/>
      <c r="D23" s="93"/>
      <c r="E23" s="9">
        <v>0</v>
      </c>
      <c r="F23" s="14" t="s">
        <v>3</v>
      </c>
      <c r="G23" s="1"/>
    </row>
    <row r="24" spans="1:7" x14ac:dyDescent="0.25">
      <c r="A24" s="1"/>
      <c r="B24" s="89" t="s">
        <v>270</v>
      </c>
      <c r="C24" s="90"/>
      <c r="D24" s="96"/>
      <c r="E24" s="72">
        <f>E21-(E22-E23)</f>
        <v>-14437003.133584365</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285</v>
      </c>
      <c r="C27" s="132"/>
      <c r="D27" s="132"/>
      <c r="E27" s="132"/>
      <c r="F27" s="133"/>
      <c r="G27" s="1"/>
    </row>
    <row r="28" spans="1:7" x14ac:dyDescent="0.25">
      <c r="A28" s="1"/>
      <c r="B28" s="137" t="s">
        <v>286</v>
      </c>
      <c r="C28" s="138"/>
      <c r="D28" s="162"/>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5" t="s">
        <v>143</v>
      </c>
      <c r="C32" s="156"/>
      <c r="D32" s="157"/>
      <c r="E32" s="74">
        <f>IF(AND(E9&gt;0,(E9+E24)&gt;0),0,IF(AND(E9&gt;0,(E9+E24)&lt;0),(E9+E24),IF(AND(E9&lt;0,E24&lt;0),E24,0)))</f>
        <v>-4587128.9379823953</v>
      </c>
      <c r="F32" s="14" t="s">
        <v>3</v>
      </c>
      <c r="G32" s="1"/>
    </row>
    <row r="33" spans="1:7" x14ac:dyDescent="0.25">
      <c r="A33" s="1"/>
      <c r="B33" s="155" t="s">
        <v>102</v>
      </c>
      <c r="C33" s="156"/>
      <c r="D33" s="157"/>
      <c r="E33" s="9">
        <v>4</v>
      </c>
      <c r="F33" s="14" t="s">
        <v>20</v>
      </c>
      <c r="G33" s="1"/>
    </row>
    <row r="34" spans="1:7" x14ac:dyDescent="0.25">
      <c r="A34" s="1"/>
      <c r="B34" s="158" t="s">
        <v>144</v>
      </c>
      <c r="C34" s="158"/>
      <c r="D34" s="158"/>
      <c r="E34" s="73">
        <f>E32/E33</f>
        <v>-1146782.2344955988</v>
      </c>
      <c r="F34" s="17" t="s">
        <v>3</v>
      </c>
      <c r="G34" s="1"/>
    </row>
    <row r="35" spans="1:7" x14ac:dyDescent="0.25">
      <c r="A35" s="1"/>
      <c r="B35" s="159"/>
      <c r="C35" s="160"/>
      <c r="D35" s="160"/>
      <c r="E35" s="160"/>
      <c r="F35" s="16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ljGmP/75q230TU/Zp3Kjw7J9BtSCvUw3s2Pt2oiVLRvDVk+nZXr9UJJV5JnJRcQ/WOfcnLhSqb4KNhopoPU60A==" saltValue="qwkgntXXeeBQ8F4m/p4mXw=="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3" t="s">
        <v>250</v>
      </c>
      <c r="C3" s="123"/>
      <c r="D3" s="123"/>
      <c r="E3" s="123"/>
      <c r="F3" s="123"/>
      <c r="G3" s="123"/>
      <c r="H3" s="123"/>
      <c r="I3" s="1"/>
    </row>
    <row r="4" spans="1:9" ht="15" customHeight="1" x14ac:dyDescent="0.25">
      <c r="A4" s="1"/>
      <c r="B4" s="123"/>
      <c r="C4" s="123"/>
      <c r="D4" s="123"/>
      <c r="E4" s="123"/>
      <c r="F4" s="123"/>
      <c r="G4" s="123"/>
      <c r="H4" s="12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63" t="s">
        <v>275</v>
      </c>
      <c r="C10" s="164"/>
      <c r="D10" s="164"/>
      <c r="E10" s="164"/>
      <c r="F10" s="165"/>
      <c r="G10" s="9">
        <v>0</v>
      </c>
      <c r="H10" s="9" t="s">
        <v>3</v>
      </c>
      <c r="I10" s="1"/>
    </row>
    <row r="11" spans="1:9" x14ac:dyDescent="0.25">
      <c r="A11" s="1"/>
      <c r="B11" s="163" t="s">
        <v>276</v>
      </c>
      <c r="C11" s="164"/>
      <c r="D11" s="164"/>
      <c r="E11" s="164"/>
      <c r="F11" s="165"/>
      <c r="G11" s="9">
        <v>0</v>
      </c>
      <c r="H11" s="9" t="s">
        <v>3</v>
      </c>
      <c r="I11" s="1"/>
    </row>
    <row r="12" spans="1:9" x14ac:dyDescent="0.25">
      <c r="A12" s="1"/>
      <c r="B12" s="163" t="s">
        <v>277</v>
      </c>
      <c r="C12" s="164"/>
      <c r="D12" s="164"/>
      <c r="E12" s="164"/>
      <c r="F12" s="165"/>
      <c r="G12" s="9">
        <v>0</v>
      </c>
      <c r="H12" s="9" t="s">
        <v>3</v>
      </c>
      <c r="I12" s="1"/>
    </row>
    <row r="13" spans="1:9" x14ac:dyDescent="0.25">
      <c r="A13" s="1"/>
      <c r="B13" s="163" t="s">
        <v>278</v>
      </c>
      <c r="C13" s="164"/>
      <c r="D13" s="164"/>
      <c r="E13" s="164"/>
      <c r="F13" s="165"/>
      <c r="G13" s="9">
        <v>0</v>
      </c>
      <c r="H13" s="9" t="s">
        <v>3</v>
      </c>
      <c r="I13" s="1"/>
    </row>
    <row r="14" spans="1:9" x14ac:dyDescent="0.25">
      <c r="A14" s="1"/>
      <c r="B14" s="163" t="s">
        <v>279</v>
      </c>
      <c r="C14" s="164"/>
      <c r="D14" s="164"/>
      <c r="E14" s="164"/>
      <c r="F14" s="165"/>
      <c r="G14" s="9">
        <v>0</v>
      </c>
      <c r="H14" s="9" t="s">
        <v>3</v>
      </c>
      <c r="I14" s="1"/>
    </row>
    <row r="15" spans="1:9" x14ac:dyDescent="0.25">
      <c r="A15" s="1"/>
      <c r="B15" s="163" t="s">
        <v>280</v>
      </c>
      <c r="C15" s="164"/>
      <c r="D15" s="164"/>
      <c r="E15" s="164"/>
      <c r="F15" s="165"/>
      <c r="G15" s="9">
        <v>0</v>
      </c>
      <c r="H15" s="9" t="s">
        <v>3</v>
      </c>
      <c r="I15" s="1"/>
    </row>
    <row r="16" spans="1:9" x14ac:dyDescent="0.25">
      <c r="A16" s="1"/>
      <c r="B16" s="163" t="s">
        <v>281</v>
      </c>
      <c r="C16" s="164"/>
      <c r="D16" s="164"/>
      <c r="E16" s="164"/>
      <c r="F16" s="165"/>
      <c r="G16" s="9">
        <v>0</v>
      </c>
      <c r="H16" s="9" t="s">
        <v>3</v>
      </c>
      <c r="I16" s="1"/>
    </row>
    <row r="17" spans="1:9" x14ac:dyDescent="0.25">
      <c r="A17" s="1"/>
      <c r="B17" s="163" t="s">
        <v>282</v>
      </c>
      <c r="C17" s="164"/>
      <c r="D17" s="164"/>
      <c r="E17" s="164"/>
      <c r="F17" s="165"/>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HtKw5h1K1HIpY292WuwmFdRIKSgPe5/iXS3omVM5wLe0jdGOplRYQXTmeqVg9o3TIi4TBoB4PFxh2JP0cthZHQ==" saltValue="7/vYB1DCINrbR6RODX1nXw=="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254</v>
      </c>
      <c r="C3" s="139"/>
      <c r="D3" s="139"/>
      <c r="E3" s="139"/>
      <c r="F3" s="139"/>
      <c r="G3" s="1"/>
    </row>
    <row r="4" spans="1:7" ht="1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34" t="s">
        <v>100</v>
      </c>
      <c r="C10" s="135"/>
      <c r="D10" s="136"/>
      <c r="E10" s="7">
        <v>1560237.9006477268</v>
      </c>
      <c r="F10" s="8" t="s">
        <v>3</v>
      </c>
      <c r="G10" s="1"/>
    </row>
    <row r="11" spans="1:7" x14ac:dyDescent="0.25">
      <c r="A11" s="1"/>
      <c r="B11" s="141" t="s">
        <v>209</v>
      </c>
      <c r="C11" s="142"/>
      <c r="D11" s="143"/>
      <c r="E11" s="7">
        <v>176986.2</v>
      </c>
      <c r="F11" s="8" t="s">
        <v>3</v>
      </c>
      <c r="G11" s="1"/>
    </row>
    <row r="12" spans="1:7" x14ac:dyDescent="0.25">
      <c r="A12" s="1"/>
      <c r="B12" s="137" t="s">
        <v>101</v>
      </c>
      <c r="C12" s="138"/>
      <c r="D12" s="162"/>
      <c r="E12" s="10">
        <f>E11-E10</f>
        <v>-1383251.7006477269</v>
      </c>
      <c r="F12" s="11" t="s">
        <v>3</v>
      </c>
      <c r="G12" s="1"/>
    </row>
    <row r="13" spans="1:7" x14ac:dyDescent="0.25">
      <c r="A13" s="1"/>
      <c r="B13" s="131" t="s">
        <v>94</v>
      </c>
      <c r="C13" s="132"/>
      <c r="D13" s="132"/>
      <c r="E13" s="132"/>
      <c r="F13" s="133"/>
      <c r="G13" s="1"/>
    </row>
    <row r="14" spans="1:7" x14ac:dyDescent="0.25">
      <c r="A14" s="1"/>
      <c r="B14" s="141" t="s">
        <v>210</v>
      </c>
      <c r="C14" s="142"/>
      <c r="D14" s="143"/>
      <c r="E14" s="9">
        <v>0</v>
      </c>
      <c r="F14" s="8" t="s">
        <v>3</v>
      </c>
      <c r="G14" s="1"/>
    </row>
    <row r="15" spans="1:7" x14ac:dyDescent="0.25">
      <c r="A15" s="1"/>
      <c r="B15" s="134" t="s">
        <v>211</v>
      </c>
      <c r="C15" s="135"/>
      <c r="D15" s="136"/>
      <c r="E15" s="9">
        <v>0</v>
      </c>
      <c r="F15" s="8" t="s">
        <v>3</v>
      </c>
      <c r="G15" s="1"/>
    </row>
    <row r="16" spans="1:7" x14ac:dyDescent="0.25">
      <c r="A16" s="1"/>
      <c r="B16" s="137" t="s">
        <v>101</v>
      </c>
      <c r="C16" s="138"/>
      <c r="D16" s="162"/>
      <c r="E16" s="10">
        <f>E15-E14</f>
        <v>0</v>
      </c>
      <c r="F16" s="11" t="s">
        <v>3</v>
      </c>
      <c r="G16" s="1"/>
    </row>
    <row r="17" spans="1:7" x14ac:dyDescent="0.25">
      <c r="A17" s="1"/>
      <c r="B17" s="32" t="s">
        <v>212</v>
      </c>
      <c r="C17" s="27"/>
      <c r="D17" s="27"/>
      <c r="E17" s="12">
        <f>E12+E16</f>
        <v>-1383251.7006477269</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PPh5Yg/PdIFZeyiVUZJD6TakWSLJfZnAWKAqmcSgWxRkPQzZooAUmZNuDqymJ9MQgSl5u5/+7et5u4q5GJXWg==" saltValue="SwTbp15L+W2+BEgcoULRq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3" t="s">
        <v>255</v>
      </c>
      <c r="C3" s="123"/>
      <c r="D3" s="123"/>
      <c r="E3" s="123"/>
      <c r="F3" s="123"/>
      <c r="G3" s="123"/>
      <c r="H3" s="123"/>
      <c r="I3" s="123"/>
      <c r="J3" s="123"/>
      <c r="K3" s="123"/>
      <c r="L3" s="1"/>
    </row>
    <row r="4" spans="1:12" ht="15" customHeight="1" x14ac:dyDescent="0.25">
      <c r="A4" s="1"/>
      <c r="B4" s="123"/>
      <c r="C4" s="123"/>
      <c r="D4" s="123"/>
      <c r="E4" s="123"/>
      <c r="F4" s="123"/>
      <c r="G4" s="123"/>
      <c r="H4" s="123"/>
      <c r="I4" s="123"/>
      <c r="J4" s="123"/>
      <c r="K4" s="12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6" t="s">
        <v>245</v>
      </c>
      <c r="E9" s="167"/>
      <c r="F9" s="166" t="s">
        <v>2</v>
      </c>
      <c r="G9" s="167"/>
      <c r="H9" s="166" t="s">
        <v>244</v>
      </c>
      <c r="I9" s="167"/>
      <c r="J9" s="166" t="s">
        <v>30</v>
      </c>
      <c r="K9" s="167"/>
      <c r="L9" s="1"/>
    </row>
    <row r="10" spans="1:12" x14ac:dyDescent="0.25">
      <c r="A10" s="1"/>
      <c r="B10" s="97" t="s">
        <v>273</v>
      </c>
      <c r="C10" s="41">
        <v>0</v>
      </c>
      <c r="D10" s="9">
        <v>0</v>
      </c>
      <c r="E10" s="14" t="s">
        <v>3</v>
      </c>
      <c r="F10" s="9">
        <f>IFERROR(D10/C10,0)</f>
        <v>0</v>
      </c>
      <c r="G10" s="14" t="s">
        <v>3</v>
      </c>
      <c r="H10" s="44">
        <v>0</v>
      </c>
      <c r="I10" s="14" t="s">
        <v>3</v>
      </c>
      <c r="J10" s="44">
        <v>0</v>
      </c>
      <c r="K10" s="14" t="s">
        <v>3</v>
      </c>
      <c r="L10" s="1"/>
    </row>
    <row r="11" spans="1:12" x14ac:dyDescent="0.25">
      <c r="A11" s="1"/>
      <c r="B11" s="86" t="s">
        <v>220</v>
      </c>
      <c r="C11" s="87"/>
      <c r="D11" s="88"/>
      <c r="E11" s="88"/>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im98C4P9mHzPqbmTO8SKgrR0pbrA6ix1S3/4Uo+WbsFfJQm353VRjqIzhmBjaMDT5FnOtNQLLNPHrdzu1bJsmg==" saltValue="lErcZKgbx8mO/2kHCF50t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256</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271</v>
      </c>
      <c r="C11" s="21">
        <v>0</v>
      </c>
      <c r="D11" s="14" t="s">
        <v>3</v>
      </c>
      <c r="E11" s="9">
        <v>0</v>
      </c>
      <c r="F11" s="14" t="s">
        <v>3</v>
      </c>
      <c r="G11" s="1"/>
    </row>
    <row r="12" spans="1:7" x14ac:dyDescent="0.25">
      <c r="A12" s="1"/>
      <c r="B12" s="32" t="s">
        <v>156</v>
      </c>
      <c r="C12" s="12">
        <f>SUM(C10:C11)</f>
        <v>0</v>
      </c>
      <c r="D12" s="13" t="s">
        <v>3</v>
      </c>
      <c r="E12" s="12">
        <f>SUM(E10:E11)</f>
        <v>0</v>
      </c>
      <c r="F12" s="13" t="s">
        <v>3</v>
      </c>
      <c r="G12" s="1"/>
    </row>
    <row r="13" spans="1:7" x14ac:dyDescent="0.25">
      <c r="A13" s="1"/>
      <c r="B13" s="32" t="s">
        <v>213</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B6gqiEKwMwnwpzx9fDKCTi1KAcsIoQOEFJJQd3ZnAcQ7Z1GE0dZAfc3IGuwUj4J22DRGfak3dqnzHoG4F4wYIQ==" saltValue="cFHWCueBu25gdtUl+4G8Z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257</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4" t="s">
        <v>17</v>
      </c>
      <c r="C9" s="84" t="s">
        <v>11</v>
      </c>
      <c r="D9" s="85"/>
      <c r="E9" s="84" t="s">
        <v>31</v>
      </c>
      <c r="F9" s="31"/>
      <c r="G9" s="1"/>
    </row>
    <row r="10" spans="1:7" x14ac:dyDescent="0.25">
      <c r="A10" s="1"/>
      <c r="B10" s="23" t="s">
        <v>272</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8"/>
      <c r="C14" s="168"/>
      <c r="D14" s="168"/>
      <c r="E14" s="168"/>
      <c r="F14" s="168"/>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8"/>
      <c r="C28" s="168"/>
      <c r="D28" s="168"/>
      <c r="E28" s="168"/>
      <c r="F28" s="168"/>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GiCOCwuQBMRAuXEqRJyEMVp4j/Yuy1YaPHmGL9PvWpzknn+M5yxbtrtlDA7BcUmQYCUcyzCPuFXSYEdDAJ1yug==" saltValue="yhbKN11Bmu3XbFd8kYqZCw=="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258</v>
      </c>
      <c r="C3" s="139"/>
      <c r="D3" s="139"/>
      <c r="E3" s="139"/>
      <c r="F3" s="139"/>
      <c r="G3" s="1"/>
    </row>
    <row r="4" spans="1:7" ht="15" customHeight="1" x14ac:dyDescent="0.25">
      <c r="A4" s="1"/>
      <c r="B4" s="139"/>
      <c r="C4" s="139"/>
      <c r="D4" s="139"/>
      <c r="E4" s="139"/>
      <c r="F4" s="139"/>
      <c r="G4" s="1"/>
    </row>
    <row r="5" spans="1:7" x14ac:dyDescent="0.25">
      <c r="A5" s="1"/>
      <c r="B5" s="139"/>
      <c r="C5" s="139"/>
      <c r="D5" s="139"/>
      <c r="E5" s="139"/>
      <c r="F5" s="139"/>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63" t="s">
        <v>224</v>
      </c>
      <c r="C10" s="164"/>
      <c r="D10" s="165"/>
      <c r="E10" s="9">
        <v>463506.07804539887</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-9270.1215609079773</v>
      </c>
      <c r="F12" s="14" t="s">
        <v>3</v>
      </c>
      <c r="G12" s="1"/>
    </row>
    <row r="13" spans="1:7" x14ac:dyDescent="0.25">
      <c r="A13" s="1"/>
      <c r="B13" s="131" t="s">
        <v>92</v>
      </c>
      <c r="C13" s="132"/>
      <c r="D13" s="133"/>
      <c r="E13" s="12">
        <f>SUM(E10:E12)*(1+'Fane 15. Nøgletal'!C15)^2</f>
        <v>487153.23706799687</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63" t="s">
        <v>224</v>
      </c>
      <c r="C16" s="164"/>
      <c r="D16" s="165"/>
      <c r="E16" s="9">
        <v>463506.07804539887</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-9270.1215609079773</v>
      </c>
      <c r="F18" s="14" t="s">
        <v>3</v>
      </c>
      <c r="G18" s="1"/>
    </row>
    <row r="19" spans="1:7" x14ac:dyDescent="0.25">
      <c r="A19" s="1"/>
      <c r="B19" s="131" t="s">
        <v>131</v>
      </c>
      <c r="C19" s="132"/>
      <c r="D19" s="133"/>
      <c r="E19" s="12">
        <f>SUM(E16:E18)*(1+'Fane 15. Nøgletal'!C15)^3</f>
        <v>504495.89230761759</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63" t="s">
        <v>224</v>
      </c>
      <c r="C22" s="164"/>
      <c r="D22" s="165"/>
      <c r="E22" s="9">
        <v>463506.07804539887</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-9270.1215609079773</v>
      </c>
      <c r="F24" s="14" t="s">
        <v>3</v>
      </c>
      <c r="G24" s="1"/>
    </row>
    <row r="25" spans="1:7" x14ac:dyDescent="0.25">
      <c r="A25" s="1"/>
      <c r="B25" s="131" t="s">
        <v>158</v>
      </c>
      <c r="C25" s="132"/>
      <c r="D25" s="133"/>
      <c r="E25" s="12">
        <f>SUM(E22:E24)*(1+'Fane 15. Nøgletal'!C15)^4</f>
        <v>522455.94607376878</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63" t="s">
        <v>224</v>
      </c>
      <c r="C28" s="164"/>
      <c r="D28" s="165"/>
      <c r="E28" s="9">
        <v>463506.07804539887</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-9270.1215609079773</v>
      </c>
      <c r="F30" s="14" t="s">
        <v>3</v>
      </c>
      <c r="G30" s="1"/>
    </row>
    <row r="31" spans="1:7" x14ac:dyDescent="0.25">
      <c r="A31" s="1"/>
      <c r="B31" s="131" t="s">
        <v>215</v>
      </c>
      <c r="C31" s="132"/>
      <c r="D31" s="133"/>
      <c r="E31" s="12">
        <f>SUM(E28:E30)*(1+'Fane 15. Nøgletal'!C15)^5</f>
        <v>541055.37775399501</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ldT99GKCr5TBIbR9Gekcjuj5+D/773dgF2XJ7szOVpo+NddPtkuOgP9lcNPEn5dyb4ktI9847DBeIvW7fXY1Sw==" saltValue="CDfbgGNw4YDrnTrcOT5PZ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85546875" style="2" customWidth="1"/>
    <col min="2" max="2" width="42.28515625" style="2" customWidth="1"/>
    <col min="3" max="3" width="15.5703125" style="2" customWidth="1"/>
    <col min="4" max="4" width="3.28515625" style="2" customWidth="1"/>
    <col min="5" max="5" width="17.14062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259</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274</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QczeyH9PQzjIKwtwCmdLh+YHg+Ddq+XaafgZWeEpnuIK0VDL/xt81X+CqGw8rX+7KckdGKe4AOm1o7HAfrkGtg==" saltValue="PvA6TlmmHS0PtHbBKXZh7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260</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8"/>
      <c r="C27" s="168"/>
      <c r="D27" s="168"/>
      <c r="E27" s="168"/>
      <c r="F27" s="168"/>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sAvVJPjR2S0K8CUqVYSaUQL26AUvQJS6T7rgps5WuuLhpM96fMSgSkrfDfiCuQ86jWxb0bzwlLdtt4n/lP5yfQ==" saltValue="9PvUV60w3EQm4VHQ4HI94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181</v>
      </c>
      <c r="C3" s="123"/>
      <c r="D3" s="123"/>
      <c r="E3" s="1"/>
    </row>
    <row r="4" spans="1:5" ht="15" customHeight="1" x14ac:dyDescent="0.25">
      <c r="A4" s="1"/>
      <c r="B4" s="123"/>
      <c r="C4" s="123"/>
      <c r="D4" s="12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94386586.940037683</v>
      </c>
      <c r="D9" s="8" t="s">
        <v>3</v>
      </c>
      <c r="E9" s="1"/>
    </row>
    <row r="10" spans="1:5" ht="17.25" customHeight="1" x14ac:dyDescent="0.25">
      <c r="A10" s="1"/>
      <c r="B10" s="83" t="s">
        <v>39</v>
      </c>
      <c r="C10" s="7">
        <f>'Fane 11.1. Varige tillæg'!C13</f>
        <v>0</v>
      </c>
      <c r="D10" s="8" t="s">
        <v>3</v>
      </c>
      <c r="E10" s="1"/>
    </row>
    <row r="11" spans="1:5" ht="17.25" customHeight="1" x14ac:dyDescent="0.25">
      <c r="A11" s="1"/>
      <c r="B11" s="83" t="s">
        <v>40</v>
      </c>
      <c r="C11" s="9">
        <f>'Fane 11.1. Varige tillæg'!E13</f>
        <v>0</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311475.73690212436</v>
      </c>
      <c r="D16" s="8" t="s">
        <v>3</v>
      </c>
      <c r="E16" s="1"/>
    </row>
    <row r="17" spans="1:5" ht="17.25" customHeight="1" x14ac:dyDescent="0.25">
      <c r="A17" s="1"/>
      <c r="B17" s="83" t="s">
        <v>10</v>
      </c>
      <c r="C17" s="44">
        <f>-SUM(C9,C10:C16)*'Fane 5. Individuelt eff. krav'!G9</f>
        <v>0</v>
      </c>
      <c r="D17" s="8" t="s">
        <v>3</v>
      </c>
      <c r="E17" s="1"/>
    </row>
    <row r="18" spans="1:5" ht="17.25" customHeight="1" x14ac:dyDescent="0.25">
      <c r="A18" s="1"/>
      <c r="B18" s="83" t="s">
        <v>24</v>
      </c>
      <c r="C18" s="44">
        <f>-'Fane 4.1. Gen. krav - drift'!G45</f>
        <v>-609148.85276653862</v>
      </c>
      <c r="D18" s="8" t="s">
        <v>3</v>
      </c>
      <c r="E18" s="1"/>
    </row>
    <row r="19" spans="1:5" ht="17.25" customHeight="1" x14ac:dyDescent="0.25">
      <c r="A19" s="1"/>
      <c r="B19" s="83" t="s">
        <v>25</v>
      </c>
      <c r="C19" s="44">
        <f>-'Fane 4.2. Gen. krav - anlæg'!G43</f>
        <v>-979489.47484624758</v>
      </c>
      <c r="D19" s="8" t="s">
        <v>3</v>
      </c>
      <c r="E19" s="48"/>
    </row>
    <row r="20" spans="1:5" ht="17.25" customHeight="1" x14ac:dyDescent="0.25">
      <c r="A20" s="1"/>
      <c r="B20" s="89" t="s">
        <v>21</v>
      </c>
      <c r="C20" s="10">
        <f>SUM(C9:C19)</f>
        <v>93109424.349327013</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omk.'!C16+'Fane 6. Ikke-påvirkelige omk.'!C20+'Fane 6. Ikke-påvirkelige omk.'!C28</f>
        <v>1940992.1818876802</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487153.23706799687</v>
      </c>
      <c r="D24" s="11" t="s">
        <v>3</v>
      </c>
      <c r="E24" s="1"/>
    </row>
    <row r="25" spans="1:5" ht="15" customHeight="1" x14ac:dyDescent="0.25">
      <c r="A25" s="1"/>
      <c r="B25" s="47" t="s">
        <v>85</v>
      </c>
      <c r="C25" s="45"/>
      <c r="D25" s="46"/>
      <c r="E25" s="1"/>
    </row>
    <row r="26" spans="1:5" ht="15" customHeight="1" x14ac:dyDescent="0.25">
      <c r="A26" s="1"/>
      <c r="B26" s="83" t="s">
        <v>231</v>
      </c>
      <c r="C26" s="75">
        <f>'Fane 11.2. Engangstillæg'!C12</f>
        <v>0</v>
      </c>
      <c r="D26" s="8" t="s">
        <v>3</v>
      </c>
      <c r="E26" s="1"/>
    </row>
    <row r="27" spans="1:5" ht="15" customHeight="1" x14ac:dyDescent="0.25">
      <c r="A27" s="1"/>
      <c r="B27" s="83" t="s">
        <v>82</v>
      </c>
      <c r="C27" s="75">
        <f>'Fane 11.2. Engangstillæg'!E12</f>
        <v>0</v>
      </c>
      <c r="D27" s="8" t="s">
        <v>3</v>
      </c>
      <c r="E27" s="1"/>
    </row>
    <row r="28" spans="1:5" ht="15" customHeight="1" x14ac:dyDescent="0.25">
      <c r="A28" s="1"/>
      <c r="B28" s="83" t="s">
        <v>238</v>
      </c>
      <c r="C28" s="75">
        <f>-C26*('Fane 15. Nøgletal'!C31+'Fane 5. Individuelt eff. krav'!G9)</f>
        <v>0</v>
      </c>
      <c r="D28" s="8" t="s">
        <v>3</v>
      </c>
      <c r="E28" s="1"/>
    </row>
    <row r="29" spans="1:5" ht="15" customHeight="1" x14ac:dyDescent="0.25">
      <c r="A29" s="1"/>
      <c r="B29" s="83"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-1383251.7006477269</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94154318.06763497</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S6mMImqz81fg7J8D1391zTs68BdFcUdEpHF6FJQY+GQZrJDQdrDDhlVLFMFCUYJAz71eGoXzApd3Yh8d0V2Qlg==" saltValue="pjKYGmvHOGJPT/zUDtFS2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9" t="s">
        <v>261</v>
      </c>
      <c r="C3" s="139"/>
      <c r="D3" s="1"/>
    </row>
    <row r="4" spans="1:4" ht="25.5" customHeight="1" x14ac:dyDescent="0.25">
      <c r="A4" s="1"/>
      <c r="B4" s="139"/>
      <c r="C4" s="139"/>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HlQsZVyWZzuLFuwC1JHi/K/mTvbDF3hvW2i8O/fLoO1LfHGuElF8pVT4TlWxGRKtGCGjc34SlPwyYGETzcd2Tg==" saltValue="+RuJ0DbSoBNgAt4pLeZEE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186</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93109424.349327013</v>
      </c>
      <c r="D9" s="8" t="s">
        <v>3</v>
      </c>
      <c r="E9" s="1"/>
    </row>
    <row r="10" spans="1:5" ht="15" customHeight="1" x14ac:dyDescent="0.25">
      <c r="A10" s="1"/>
      <c r="B10" s="25" t="s">
        <v>19</v>
      </c>
      <c r="C10" s="7">
        <f>SUM(C9:C9)*'Fane 15. Nøgletal'!C15</f>
        <v>3314695.5068360418</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drift'!G53</f>
        <v>-618217.86088652676</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95805901.995276526</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Nøgletal'!C15)+'Fane 6. Ikke-påvirkelige omk.'!C21+'Fane 6. Ikke-påvirkelige omk.'!C29</f>
        <v>2010091.5035628818</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504495.89230761759</v>
      </c>
      <c r="D18" s="11" t="s">
        <v>3</v>
      </c>
      <c r="E18" s="1"/>
    </row>
    <row r="19" spans="1:5" x14ac:dyDescent="0.25">
      <c r="A19" s="1"/>
      <c r="B19" s="32" t="s">
        <v>143</v>
      </c>
      <c r="C19" s="27"/>
      <c r="D19" s="19"/>
      <c r="E19" s="1"/>
    </row>
    <row r="20" spans="1:5" ht="15" customHeight="1" x14ac:dyDescent="0.25">
      <c r="A20" s="1"/>
      <c r="B20" s="30" t="s">
        <v>180</v>
      </c>
      <c r="C20" s="10">
        <f>'Fane 7. Kontrol af ØR2021'!E34</f>
        <v>-1146782.2344955988</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97173707.156651437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wVxmUd/mioUkSoxMdp+bkSZjCB6S6o3mmg/XJfAcZjmnBqITsWtANXQ49GzutuBgLiehRjxeIL7FY9D5MCpixQ==" saltValue="kIK05GK4/AwzIhq65S9NF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187</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95805901.995276526</v>
      </c>
      <c r="D9" s="8" t="s">
        <v>3</v>
      </c>
      <c r="E9" s="1"/>
    </row>
    <row r="10" spans="1:5" ht="15" customHeight="1" x14ac:dyDescent="0.25">
      <c r="A10" s="1"/>
      <c r="B10" s="25" t="s">
        <v>19</v>
      </c>
      <c r="C10" s="7">
        <f>SUM(C9:C9)*'Fane 15. Nøgletal'!C15</f>
        <v>3410690.1110318443</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drift'!G58</f>
        <v>-627421.88839940552</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98589170.217908964</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Nøgletal'!C15)^2+'Fane 6. Ikke-påvirkelige omk.'!C22+'Fane 6. Ikke-påvirkelige omk.'!C30</f>
        <v>2081650.7610897203</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522455.94607376878</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-1146782.2344955988</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100046494.69057687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xmY2Px9lJTmj+jE61zz9hin9NXGuIJUG1idcWViKRnKzNaafHDxFP8BfqqZi4WYZz+peo1wrjDL8sWXE/+f/Fg==" saltValue="No3bX8uqNyWgveVCI0GJQ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188</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98589170.217908964</v>
      </c>
      <c r="D9" s="8" t="s">
        <v>3</v>
      </c>
      <c r="E9" s="1"/>
    </row>
    <row r="10" spans="1:5" ht="15" customHeight="1" x14ac:dyDescent="0.25">
      <c r="A10" s="1"/>
      <c r="B10" s="25" t="s">
        <v>19</v>
      </c>
      <c r="C10" s="7">
        <f>SUM(C9:C9)*'Fane 15. Nøgletal'!C15</f>
        <v>3509774.459757559</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drift'!G63</f>
        <v>-636762.94547389587</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101462181.73219262</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Nøgletal'!C15)^3+'Fane 6. Ikke-påvirkelige omk.'!C23+'Fane 6. Ikke-påvirkelige omk.'!C31</f>
        <v>2155757.5281845145</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541055.37775399501</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-1146782.2344955988</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103012212.40363553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RAOQjYPVlYQ6XGjKbe2ZVTdpUZJLsl8Tg7RNQwhnpkUT2NsIrm6TnOaX3quA8qw4NWihl8bhJ37ORUp6A7SCwg==" saltValue="u6VSWKmEQh/QrgESj8QjS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191</v>
      </c>
      <c r="C3" s="139"/>
      <c r="D3" s="139"/>
      <c r="E3" s="139"/>
      <c r="F3" s="139"/>
      <c r="G3" s="1"/>
    </row>
    <row r="4" spans="1:7" ht="29.2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287</v>
      </c>
      <c r="C8" s="27"/>
      <c r="D8" s="27"/>
      <c r="E8" s="27"/>
      <c r="F8" s="19"/>
      <c r="G8" s="1"/>
    </row>
    <row r="9" spans="1:7" ht="15" customHeight="1" x14ac:dyDescent="0.25">
      <c r="A9" s="1"/>
      <c r="B9" s="134" t="s">
        <v>192</v>
      </c>
      <c r="C9" s="135"/>
      <c r="D9" s="136"/>
      <c r="E9" s="7">
        <v>95681308.224667221</v>
      </c>
      <c r="F9" s="8" t="s">
        <v>3</v>
      </c>
      <c r="G9" s="1"/>
    </row>
    <row r="10" spans="1:7" ht="15" customHeight="1" x14ac:dyDescent="0.25">
      <c r="A10" s="1"/>
      <c r="B10" s="125" t="s">
        <v>39</v>
      </c>
      <c r="C10" s="126"/>
      <c r="D10" s="127"/>
      <c r="E10" s="7">
        <v>0</v>
      </c>
      <c r="F10" s="8" t="s">
        <v>3</v>
      </c>
      <c r="G10" s="1"/>
    </row>
    <row r="11" spans="1:7" ht="15" customHeight="1" x14ac:dyDescent="0.25">
      <c r="A11" s="1"/>
      <c r="B11" s="125" t="s">
        <v>40</v>
      </c>
      <c r="C11" s="126"/>
      <c r="D11" s="127"/>
      <c r="E11" s="9">
        <v>0</v>
      </c>
      <c r="F11" s="8" t="s">
        <v>3</v>
      </c>
      <c r="G11" s="1"/>
    </row>
    <row r="12" spans="1:7" ht="15" customHeight="1" x14ac:dyDescent="0.25">
      <c r="A12" s="1"/>
      <c r="B12" s="125" t="s">
        <v>27</v>
      </c>
      <c r="C12" s="126"/>
      <c r="D12" s="127"/>
      <c r="E12" s="9">
        <v>0</v>
      </c>
      <c r="F12" s="8" t="s">
        <v>3</v>
      </c>
      <c r="G12" s="1"/>
    </row>
    <row r="13" spans="1:7" ht="15" customHeight="1" x14ac:dyDescent="0.25">
      <c r="A13" s="1"/>
      <c r="B13" s="134" t="s">
        <v>26</v>
      </c>
      <c r="C13" s="135"/>
      <c r="D13" s="136"/>
      <c r="E13" s="9">
        <v>0</v>
      </c>
      <c r="F13" s="8" t="s">
        <v>3</v>
      </c>
      <c r="G13" s="1"/>
    </row>
    <row r="14" spans="1:7" ht="15" customHeight="1" x14ac:dyDescent="0.25">
      <c r="A14" s="1"/>
      <c r="B14" s="134" t="s">
        <v>29</v>
      </c>
      <c r="C14" s="135"/>
      <c r="D14" s="136"/>
      <c r="E14" s="9">
        <v>0</v>
      </c>
      <c r="F14" s="8" t="s">
        <v>3</v>
      </c>
      <c r="G14" s="1"/>
    </row>
    <row r="15" spans="1:7" ht="15" customHeight="1" x14ac:dyDescent="0.25">
      <c r="A15" s="1"/>
      <c r="B15" s="134" t="s">
        <v>28</v>
      </c>
      <c r="C15" s="135"/>
      <c r="D15" s="136"/>
      <c r="E15" s="9">
        <v>0</v>
      </c>
      <c r="F15" s="8" t="s">
        <v>3</v>
      </c>
      <c r="G15" s="1"/>
    </row>
    <row r="16" spans="1:7" ht="15" customHeight="1" x14ac:dyDescent="0.25">
      <c r="A16" s="1"/>
      <c r="B16" s="134" t="s">
        <v>19</v>
      </c>
      <c r="C16" s="135"/>
      <c r="D16" s="136"/>
      <c r="E16" s="9">
        <f>SUM(E9:E15)*'Fane 15. Nøgletal'!C14</f>
        <v>315748.31714140181</v>
      </c>
      <c r="F16" s="8" t="s">
        <v>3</v>
      </c>
      <c r="G16" s="1"/>
    </row>
    <row r="17" spans="1:7" ht="15" customHeight="1" x14ac:dyDescent="0.25">
      <c r="A17" s="1"/>
      <c r="B17" s="134" t="s">
        <v>10</v>
      </c>
      <c r="C17" s="135"/>
      <c r="D17" s="136"/>
      <c r="E17" s="9">
        <v>0</v>
      </c>
      <c r="F17" s="8" t="s">
        <v>3</v>
      </c>
      <c r="G17" s="1"/>
    </row>
    <row r="18" spans="1:7" ht="15" customHeight="1" x14ac:dyDescent="0.25">
      <c r="A18" s="1"/>
      <c r="B18" s="134" t="s">
        <v>24</v>
      </c>
      <c r="C18" s="135"/>
      <c r="D18" s="136"/>
      <c r="E18" s="9">
        <f>-'Fane 4.1. Gen. krav - drift'!G39</f>
        <v>-619535.9932290162</v>
      </c>
      <c r="F18" s="8" t="s">
        <v>3</v>
      </c>
      <c r="G18" s="1"/>
    </row>
    <row r="19" spans="1:7" ht="15" customHeight="1" x14ac:dyDescent="0.25">
      <c r="A19" s="1"/>
      <c r="B19" s="134" t="s">
        <v>25</v>
      </c>
      <c r="C19" s="135"/>
      <c r="D19" s="136"/>
      <c r="E19" s="9">
        <f>-'Fane 4.2. Gen. krav - anlæg'!G37</f>
        <v>-990933.60854192078</v>
      </c>
      <c r="F19" s="8" t="s">
        <v>3</v>
      </c>
      <c r="G19" s="1"/>
    </row>
    <row r="20" spans="1:7" ht="15" customHeight="1" x14ac:dyDescent="0.25">
      <c r="A20" s="1"/>
      <c r="B20" s="54" t="s">
        <v>21</v>
      </c>
      <c r="C20" s="99"/>
      <c r="D20" s="101"/>
      <c r="E20" s="51">
        <f>SUM(E9:E19)</f>
        <v>94386586.940037683</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1803494.4010685002</v>
      </c>
      <c r="F22" s="11" t="s">
        <v>3</v>
      </c>
      <c r="G22" s="1"/>
    </row>
    <row r="23" spans="1:7" ht="15" customHeight="1" x14ac:dyDescent="0.25">
      <c r="A23" s="1"/>
      <c r="B23" s="131" t="s">
        <v>86</v>
      </c>
      <c r="C23" s="132"/>
      <c r="D23" s="133"/>
      <c r="E23" s="27"/>
      <c r="F23" s="19"/>
      <c r="G23" s="1"/>
    </row>
    <row r="24" spans="1:7" ht="15" customHeight="1" x14ac:dyDescent="0.25">
      <c r="A24" s="1"/>
      <c r="B24" s="98" t="s">
        <v>86</v>
      </c>
      <c r="C24" s="37"/>
      <c r="D24" s="38"/>
      <c r="E24" s="10">
        <v>451727.78149264451</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7" t="s">
        <v>87</v>
      </c>
      <c r="C28" s="138"/>
      <c r="D28" s="138"/>
      <c r="E28" s="39">
        <v>0</v>
      </c>
      <c r="F28" s="11" t="s">
        <v>3</v>
      </c>
      <c r="G28" s="1"/>
    </row>
    <row r="29" spans="1:7" ht="15" customHeight="1" x14ac:dyDescent="0.25">
      <c r="A29" s="1"/>
      <c r="B29" s="32" t="s">
        <v>143</v>
      </c>
      <c r="C29" s="32"/>
      <c r="D29" s="32"/>
      <c r="E29" s="27"/>
      <c r="F29" s="19"/>
      <c r="G29" s="1"/>
    </row>
    <row r="30" spans="1:7" ht="15" customHeight="1" x14ac:dyDescent="0.25">
      <c r="A30" s="1"/>
      <c r="B30" s="128" t="s">
        <v>142</v>
      </c>
      <c r="C30" s="129"/>
      <c r="D30" s="129"/>
      <c r="E30" s="39">
        <v>0</v>
      </c>
      <c r="F30" s="11" t="s">
        <v>3</v>
      </c>
      <c r="G30" s="1"/>
    </row>
    <row r="31" spans="1:7" x14ac:dyDescent="0.25">
      <c r="A31" s="1"/>
      <c r="B31" s="32" t="s">
        <v>123</v>
      </c>
      <c r="C31" s="27"/>
      <c r="D31" s="27"/>
      <c r="E31" s="27"/>
      <c r="F31" s="19"/>
      <c r="G31" s="1"/>
    </row>
    <row r="32" spans="1:7" ht="15.4" customHeight="1" x14ac:dyDescent="0.25">
      <c r="A32" s="1"/>
      <c r="B32" s="128" t="s">
        <v>123</v>
      </c>
      <c r="C32" s="129"/>
      <c r="D32" s="130"/>
      <c r="E32" s="10">
        <v>-1547831.2196564078</v>
      </c>
      <c r="F32" s="11" t="s">
        <v>3</v>
      </c>
      <c r="G32" s="1"/>
    </row>
    <row r="33" spans="1:7" ht="15.4" customHeight="1" x14ac:dyDescent="0.25">
      <c r="A33" s="1"/>
      <c r="B33" s="131" t="s">
        <v>175</v>
      </c>
      <c r="C33" s="132"/>
      <c r="D33" s="132"/>
      <c r="E33" s="132"/>
      <c r="F33" s="133"/>
      <c r="G33" s="1"/>
    </row>
    <row r="34" spans="1:7" ht="15.4" customHeight="1" x14ac:dyDescent="0.25">
      <c r="A34" s="1"/>
      <c r="B34" s="100" t="s">
        <v>176</v>
      </c>
      <c r="C34" s="10"/>
      <c r="D34" s="11"/>
      <c r="E34" s="10">
        <f>'Fane 8. Skattesagen'!G11</f>
        <v>0</v>
      </c>
      <c r="F34" s="11" t="s">
        <v>3</v>
      </c>
      <c r="G34" s="1"/>
    </row>
    <row r="35" spans="1:7" x14ac:dyDescent="0.25">
      <c r="A35" s="1"/>
      <c r="B35" s="55" t="s">
        <v>218</v>
      </c>
      <c r="C35" s="56"/>
      <c r="D35" s="19"/>
      <c r="E35" s="45">
        <f>SUM(E32,E30,E28,E24,E22,E20,E34)</f>
        <v>95093977.902942419</v>
      </c>
      <c r="F35" s="52" t="s">
        <v>3</v>
      </c>
      <c r="G35" s="1"/>
    </row>
    <row r="36" spans="1:7" ht="27" customHeight="1" x14ac:dyDescent="0.25">
      <c r="A36" s="1"/>
      <c r="B36" s="134" t="s">
        <v>222</v>
      </c>
      <c r="C36" s="135"/>
      <c r="D36" s="135"/>
      <c r="E36" s="135"/>
      <c r="F36" s="1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h0V+VwXr/tIqfQNwoy/7N3mNUZr2mSodSjDFzgfbJ5dtKHteEKNJB/y5fRHhFcpdk8ZgP2Sz2T1ghGa95KGGVA==" saltValue="ZxMBtslNgcCMJbj4hJ/Nyw=="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42578125" style="2" customWidth="1"/>
    <col min="2" max="5" width="9.140625" style="2"/>
    <col min="6" max="6" width="23.85546875" style="2" customWidth="1"/>
    <col min="7" max="7" width="16.28515625" style="2" customWidth="1"/>
    <col min="8" max="8" width="3.42578125" style="2" customWidth="1"/>
    <col min="9" max="9" width="2.57031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9" t="s">
        <v>109</v>
      </c>
      <c r="C2" s="139"/>
      <c r="D2" s="139"/>
      <c r="E2" s="139"/>
      <c r="F2" s="139"/>
      <c r="G2" s="139"/>
      <c r="H2" s="139"/>
      <c r="I2" s="1"/>
    </row>
    <row r="3" spans="1:9" ht="28.5" customHeight="1" x14ac:dyDescent="0.25">
      <c r="A3" s="1"/>
      <c r="B3" s="139"/>
      <c r="C3" s="139"/>
      <c r="D3" s="139"/>
      <c r="E3" s="139"/>
      <c r="F3" s="139"/>
      <c r="G3" s="139"/>
      <c r="H3" s="139"/>
      <c r="I3" s="1"/>
    </row>
    <row r="4" spans="1:9" x14ac:dyDescent="0.25">
      <c r="A4" s="1"/>
      <c r="B4" s="131" t="s">
        <v>52</v>
      </c>
      <c r="C4" s="132"/>
      <c r="D4" s="132"/>
      <c r="E4" s="132"/>
      <c r="F4" s="132"/>
      <c r="G4" s="132"/>
      <c r="H4" s="133"/>
      <c r="I4" s="1"/>
    </row>
    <row r="5" spans="1:9" x14ac:dyDescent="0.25">
      <c r="A5" s="1"/>
      <c r="B5" s="141" t="s">
        <v>41</v>
      </c>
      <c r="C5" s="142"/>
      <c r="D5" s="142"/>
      <c r="E5" s="142"/>
      <c r="F5" s="143"/>
      <c r="G5" s="76">
        <v>31411795.835707571</v>
      </c>
      <c r="H5" s="14" t="s">
        <v>3</v>
      </c>
      <c r="I5" s="1"/>
    </row>
    <row r="6" spans="1:9" x14ac:dyDescent="0.25">
      <c r="A6" s="1"/>
      <c r="B6" s="134" t="s">
        <v>120</v>
      </c>
      <c r="C6" s="135"/>
      <c r="D6" s="135"/>
      <c r="E6" s="135"/>
      <c r="F6" s="136"/>
      <c r="G6" s="77">
        <v>962065</v>
      </c>
      <c r="H6" s="14" t="s">
        <v>3</v>
      </c>
      <c r="I6" s="1"/>
    </row>
    <row r="7" spans="1:9" x14ac:dyDescent="0.25">
      <c r="A7" s="1"/>
      <c r="B7" s="141" t="s">
        <v>42</v>
      </c>
      <c r="C7" s="142"/>
      <c r="D7" s="142"/>
      <c r="E7" s="142"/>
      <c r="F7" s="143"/>
      <c r="G7" s="76">
        <f>SUM(G5:G6)*'Fane 15. Nøgletal'!C31</f>
        <v>647477.21671415144</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40"/>
      <c r="H10" s="133"/>
      <c r="I10" s="1"/>
    </row>
    <row r="11" spans="1:9" x14ac:dyDescent="0.25">
      <c r="A11" s="1"/>
      <c r="B11" s="141" t="s">
        <v>43</v>
      </c>
      <c r="C11" s="142"/>
      <c r="D11" s="142"/>
      <c r="E11" s="142"/>
      <c r="F11" s="143"/>
      <c r="G11" s="76">
        <f>(G5-G7)*(1+'Fane 15. Nøgletal'!C10)</f>
        <v>31302694.194825806</v>
      </c>
      <c r="H11" s="14" t="s">
        <v>3</v>
      </c>
      <c r="I11" s="1"/>
    </row>
    <row r="12" spans="1:9" ht="15" customHeight="1" x14ac:dyDescent="0.25">
      <c r="A12" s="1"/>
      <c r="B12" s="141" t="s">
        <v>121</v>
      </c>
      <c r="C12" s="142"/>
      <c r="D12" s="142"/>
      <c r="E12" s="142"/>
      <c r="F12" s="143"/>
      <c r="G12" s="77">
        <v>347830.02632941125</v>
      </c>
      <c r="H12" s="14" t="s">
        <v>3</v>
      </c>
      <c r="I12" s="1"/>
    </row>
    <row r="13" spans="1:9" x14ac:dyDescent="0.25">
      <c r="A13" s="1"/>
      <c r="B13" s="134" t="s">
        <v>118</v>
      </c>
      <c r="C13" s="135"/>
      <c r="D13" s="135"/>
      <c r="E13" s="135"/>
      <c r="F13" s="136"/>
      <c r="G13" s="77">
        <v>566732.23750000005</v>
      </c>
      <c r="H13" s="14" t="s">
        <v>3</v>
      </c>
      <c r="I13" s="1"/>
    </row>
    <row r="14" spans="1:9" x14ac:dyDescent="0.25">
      <c r="A14" s="1"/>
      <c r="B14" s="144" t="s">
        <v>44</v>
      </c>
      <c r="C14" s="145"/>
      <c r="D14" s="145"/>
      <c r="E14" s="145"/>
      <c r="F14" s="146"/>
      <c r="G14" s="77">
        <v>0</v>
      </c>
      <c r="H14" s="14" t="s">
        <v>3</v>
      </c>
      <c r="I14" s="1"/>
    </row>
    <row r="15" spans="1:9" x14ac:dyDescent="0.25">
      <c r="A15" s="1"/>
      <c r="B15" s="141" t="s">
        <v>45</v>
      </c>
      <c r="C15" s="142"/>
      <c r="D15" s="142"/>
      <c r="E15" s="142"/>
      <c r="F15" s="143"/>
      <c r="G15" s="76">
        <f>SUM(G11:G14)*'Fane 15. Nøgletal'!C31</f>
        <v>644345.12917310442</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40"/>
      <c r="H18" s="133"/>
      <c r="I18" s="1"/>
    </row>
    <row r="19" spans="1:9" x14ac:dyDescent="0.25">
      <c r="A19" s="1"/>
      <c r="B19" s="141" t="s">
        <v>46</v>
      </c>
      <c r="C19" s="142"/>
      <c r="D19" s="142"/>
      <c r="E19" s="142"/>
      <c r="F19" s="143"/>
      <c r="G19" s="76">
        <f>(SUM(G11:G12,G14)-(G15))*(1+'Fane 15. Nøgletal'!C10)</f>
        <v>31548787.226091806</v>
      </c>
      <c r="H19" s="14" t="s">
        <v>3</v>
      </c>
      <c r="I19" s="1"/>
    </row>
    <row r="20" spans="1:9" x14ac:dyDescent="0.25">
      <c r="A20" s="1"/>
      <c r="B20" s="144" t="s">
        <v>47</v>
      </c>
      <c r="C20" s="145"/>
      <c r="D20" s="145"/>
      <c r="E20" s="145"/>
      <c r="F20" s="146"/>
      <c r="G20" s="77">
        <v>0</v>
      </c>
      <c r="H20" s="14" t="s">
        <v>3</v>
      </c>
      <c r="I20" s="1"/>
    </row>
    <row r="21" spans="1:9" x14ac:dyDescent="0.25">
      <c r="A21" s="1"/>
      <c r="B21" s="141" t="s">
        <v>48</v>
      </c>
      <c r="C21" s="142"/>
      <c r="D21" s="142"/>
      <c r="E21" s="142"/>
      <c r="F21" s="143"/>
      <c r="G21" s="76">
        <f>SUM(G19:G20)*'Fane 15. Nøgletal'!C31</f>
        <v>630975.74452183617</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40"/>
      <c r="H24" s="133"/>
      <c r="I24" s="1"/>
    </row>
    <row r="25" spans="1:9" x14ac:dyDescent="0.25">
      <c r="A25" s="1"/>
      <c r="B25" s="141" t="s">
        <v>49</v>
      </c>
      <c r="C25" s="142"/>
      <c r="D25" s="142"/>
      <c r="E25" s="142"/>
      <c r="F25" s="143"/>
      <c r="G25" s="76">
        <f>(G19+G20-G21)*(1+'Fane 15. Nøgletal'!C12)</f>
        <v>31526892.367756899</v>
      </c>
      <c r="H25" s="14" t="s">
        <v>3</v>
      </c>
      <c r="I25" s="1"/>
    </row>
    <row r="26" spans="1:9" x14ac:dyDescent="0.25">
      <c r="A26" s="1"/>
      <c r="B26" s="144" t="s">
        <v>50</v>
      </c>
      <c r="C26" s="145"/>
      <c r="D26" s="145"/>
      <c r="E26" s="145"/>
      <c r="F26" s="146"/>
      <c r="G26" s="77">
        <v>0</v>
      </c>
      <c r="H26" s="14" t="s">
        <v>3</v>
      </c>
      <c r="I26" s="1"/>
    </row>
    <row r="27" spans="1:9" x14ac:dyDescent="0.25">
      <c r="A27" s="1"/>
      <c r="B27" s="141" t="s">
        <v>51</v>
      </c>
      <c r="C27" s="142"/>
      <c r="D27" s="142"/>
      <c r="E27" s="142"/>
      <c r="F27" s="143"/>
      <c r="G27" s="76">
        <f>(G25+G26)*'Fane 15. Nøgletal'!C31</f>
        <v>630537.84735513804</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40"/>
      <c r="H30" s="133"/>
      <c r="I30" s="1"/>
    </row>
    <row r="31" spans="1:9" x14ac:dyDescent="0.25">
      <c r="A31" s="1"/>
      <c r="B31" s="141" t="s">
        <v>59</v>
      </c>
      <c r="C31" s="142"/>
      <c r="D31" s="142"/>
      <c r="E31" s="142"/>
      <c r="F31" s="143"/>
      <c r="G31" s="76">
        <f>(G25+G26-G27)*(1+'Fane 15. Nøgletal'!C12)</f>
        <v>31505012.704453677</v>
      </c>
      <c r="H31" s="14" t="s">
        <v>3</v>
      </c>
      <c r="I31" s="1"/>
    </row>
    <row r="32" spans="1:9" x14ac:dyDescent="0.25">
      <c r="A32" s="1"/>
      <c r="B32" s="141" t="s">
        <v>137</v>
      </c>
      <c r="C32" s="142"/>
      <c r="D32" s="142"/>
      <c r="E32" s="142"/>
      <c r="F32" s="143"/>
      <c r="G32" s="76">
        <v>0</v>
      </c>
      <c r="H32" s="14" t="s">
        <v>3</v>
      </c>
      <c r="I32" s="1"/>
    </row>
    <row r="33" spans="1:9" x14ac:dyDescent="0.25">
      <c r="A33" s="1"/>
      <c r="B33" s="141" t="s">
        <v>60</v>
      </c>
      <c r="C33" s="142"/>
      <c r="D33" s="142"/>
      <c r="E33" s="142"/>
      <c r="F33" s="143"/>
      <c r="G33" s="76">
        <f>(G31+G32)*'Fane 15. Nøgletal'!C31</f>
        <v>630100.25408907351</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40"/>
      <c r="H36" s="133"/>
      <c r="I36" s="1"/>
    </row>
    <row r="37" spans="1:9" x14ac:dyDescent="0.25">
      <c r="A37" s="1"/>
      <c r="B37" s="141" t="s">
        <v>79</v>
      </c>
      <c r="C37" s="142"/>
      <c r="D37" s="142"/>
      <c r="E37" s="142"/>
      <c r="F37" s="143"/>
      <c r="G37" s="76">
        <f>(G31+G32-G33)*(1+'Fane 15. Nøgletal'!C14)</f>
        <v>30976799.661450811</v>
      </c>
      <c r="H37" s="14" t="s">
        <v>3</v>
      </c>
      <c r="I37" s="1"/>
    </row>
    <row r="38" spans="1:9" x14ac:dyDescent="0.25">
      <c r="A38" s="1"/>
      <c r="B38" s="141" t="s">
        <v>164</v>
      </c>
      <c r="C38" s="142"/>
      <c r="D38" s="142"/>
      <c r="E38" s="142"/>
      <c r="F38" s="143"/>
      <c r="G38" s="76">
        <v>0</v>
      </c>
      <c r="H38" s="14" t="s">
        <v>3</v>
      </c>
      <c r="I38" s="1"/>
    </row>
    <row r="39" spans="1:9" x14ac:dyDescent="0.25">
      <c r="A39" s="1"/>
      <c r="B39" s="141" t="s">
        <v>162</v>
      </c>
      <c r="C39" s="142"/>
      <c r="D39" s="142"/>
      <c r="E39" s="142"/>
      <c r="F39" s="143"/>
      <c r="G39" s="76">
        <f>(G37+G38)*'Fane 15. Nøgletal'!C31</f>
        <v>619535.9932290162</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40"/>
      <c r="H42" s="133"/>
      <c r="I42" s="1"/>
    </row>
    <row r="43" spans="1:9" x14ac:dyDescent="0.25">
      <c r="A43" s="1"/>
      <c r="B43" s="141" t="s">
        <v>228</v>
      </c>
      <c r="C43" s="142"/>
      <c r="D43" s="142"/>
      <c r="E43" s="142"/>
      <c r="F43" s="143"/>
      <c r="G43" s="76">
        <f>(G37+G38-G39)*(1+'Fane 15. Nøgletal'!C14)</f>
        <v>30457442.638326928</v>
      </c>
      <c r="H43" s="14" t="s">
        <v>3</v>
      </c>
      <c r="I43" s="1"/>
    </row>
    <row r="44" spans="1:9" x14ac:dyDescent="0.25">
      <c r="A44" s="1"/>
      <c r="B44" s="147" t="s">
        <v>230</v>
      </c>
      <c r="C44" s="148"/>
      <c r="D44" s="148"/>
      <c r="E44" s="148"/>
      <c r="F44" s="149"/>
      <c r="G44" s="80">
        <f>('Fane 2.1. Økonomisk ramme 2023'!C10+'Fane 2.1. Økonomisk ramme 2023'!C12+'Fane 2.1. Økonomisk ramme 2023'!C14)*(1+'Fane 15. Nøgletal'!C15)</f>
        <v>0</v>
      </c>
      <c r="H44" s="14" t="s">
        <v>3</v>
      </c>
      <c r="I44" s="1"/>
    </row>
    <row r="45" spans="1:9" x14ac:dyDescent="0.25">
      <c r="A45" s="1"/>
      <c r="B45" s="141" t="s">
        <v>163</v>
      </c>
      <c r="C45" s="142"/>
      <c r="D45" s="142"/>
      <c r="E45" s="142"/>
      <c r="F45" s="143"/>
      <c r="G45" s="76">
        <f>SUM(G43:G44)*'Fane 15. Nøgletal'!C31</f>
        <v>609148.85276653862</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40"/>
      <c r="H51" s="133"/>
      <c r="I51" s="1"/>
    </row>
    <row r="52" spans="1:9" x14ac:dyDescent="0.25">
      <c r="A52" s="1"/>
      <c r="B52" s="141" t="s">
        <v>227</v>
      </c>
      <c r="C52" s="142"/>
      <c r="D52" s="142"/>
      <c r="E52" s="142"/>
      <c r="F52" s="143"/>
      <c r="G52" s="76">
        <f>(G43+G44-G45)*(1+'Fane 15. Nøgletal'!C15)</f>
        <v>30910893.044326339</v>
      </c>
      <c r="H52" s="14" t="s">
        <v>3</v>
      </c>
      <c r="I52" s="1"/>
    </row>
    <row r="53" spans="1:9" x14ac:dyDescent="0.25">
      <c r="A53" s="1"/>
      <c r="B53" s="141" t="s">
        <v>138</v>
      </c>
      <c r="C53" s="142"/>
      <c r="D53" s="142"/>
      <c r="E53" s="142"/>
      <c r="F53" s="143"/>
      <c r="G53" s="76">
        <f>(G52)*'Fane 15. Nøgletal'!C31</f>
        <v>618217.86088652676</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40"/>
      <c r="H56" s="133"/>
      <c r="I56" s="1"/>
    </row>
    <row r="57" spans="1:9" x14ac:dyDescent="0.25">
      <c r="A57" s="1"/>
      <c r="B57" s="91" t="s">
        <v>151</v>
      </c>
      <c r="C57" s="92"/>
      <c r="D57" s="92"/>
      <c r="E57" s="92"/>
      <c r="F57" s="93"/>
      <c r="G57" s="76">
        <f>(G52-G53)*(1+'Fane 15. Nøgletal'!C15)</f>
        <v>31371094.419970274</v>
      </c>
      <c r="H57" s="14" t="s">
        <v>3</v>
      </c>
      <c r="I57" s="1"/>
    </row>
    <row r="58" spans="1:9" x14ac:dyDescent="0.25">
      <c r="A58" s="1"/>
      <c r="B58" s="91" t="s">
        <v>152</v>
      </c>
      <c r="C58" s="92"/>
      <c r="D58" s="92"/>
      <c r="E58" s="92"/>
      <c r="F58" s="93"/>
      <c r="G58" s="76">
        <f>(G57)*'Fane 15. Nøgletal'!C31</f>
        <v>627421.88839940552</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40"/>
      <c r="H61" s="133"/>
      <c r="I61" s="1"/>
    </row>
    <row r="62" spans="1:9" x14ac:dyDescent="0.25">
      <c r="A62" s="1"/>
      <c r="B62" s="91" t="s">
        <v>194</v>
      </c>
      <c r="C62" s="92"/>
      <c r="D62" s="92"/>
      <c r="E62" s="92"/>
      <c r="F62" s="93"/>
      <c r="G62" s="76">
        <f>(G57-G58)*(1+'Fane 15. Nøgletal'!C15)</f>
        <v>31838147.273694791</v>
      </c>
      <c r="H62" s="14" t="s">
        <v>3</v>
      </c>
      <c r="I62" s="1"/>
    </row>
    <row r="63" spans="1:9" x14ac:dyDescent="0.25">
      <c r="A63" s="1"/>
      <c r="B63" s="91" t="s">
        <v>195</v>
      </c>
      <c r="C63" s="92"/>
      <c r="D63" s="92"/>
      <c r="E63" s="92"/>
      <c r="F63" s="93"/>
      <c r="G63" s="76">
        <f>(G62)*'Fane 15. Nøgletal'!C31</f>
        <v>636762.94547389587</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whYS3ZNhy2DLC3on2Fd7msp9WEpE4b//66SYBx4swr3QGlnrThnkIbhSBUo5me2aoqEE6h92lGn6hQ4AYDV16A==" saltValue="wGajGCJS0rsXH4pVsXeXyg=="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28515625" style="2" customWidth="1"/>
    <col min="2" max="5" width="9.140625" style="2"/>
    <col min="6" max="6" width="28.85546875" style="2" customWidth="1"/>
    <col min="7" max="7" width="14.140625" style="2" customWidth="1"/>
    <col min="8" max="8" width="3.28515625" style="2" customWidth="1"/>
    <col min="9" max="9" width="2.28515625" style="2" customWidth="1"/>
    <col min="10" max="16384" width="9.140625" style="2"/>
  </cols>
  <sheetData>
    <row r="1" spans="1:9" ht="14.25" customHeight="1" x14ac:dyDescent="0.25">
      <c r="A1" s="1"/>
      <c r="B1" s="150" t="s">
        <v>110</v>
      </c>
      <c r="C1" s="150"/>
      <c r="D1" s="150"/>
      <c r="E1" s="150"/>
      <c r="F1" s="150"/>
      <c r="G1" s="150"/>
      <c r="H1" s="150"/>
      <c r="I1" s="1"/>
    </row>
    <row r="2" spans="1:9" ht="15" customHeight="1" x14ac:dyDescent="0.25">
      <c r="A2" s="1"/>
      <c r="B2" s="150"/>
      <c r="C2" s="150"/>
      <c r="D2" s="150"/>
      <c r="E2" s="150"/>
      <c r="F2" s="150"/>
      <c r="G2" s="150"/>
      <c r="H2" s="150"/>
      <c r="I2" s="1"/>
    </row>
    <row r="3" spans="1:9" ht="15" customHeight="1" x14ac:dyDescent="0.25">
      <c r="A3" s="1"/>
      <c r="B3" s="151"/>
      <c r="C3" s="151"/>
      <c r="D3" s="151"/>
      <c r="E3" s="151"/>
      <c r="F3" s="151"/>
      <c r="G3" s="151"/>
      <c r="H3" s="151"/>
      <c r="I3" s="1"/>
    </row>
    <row r="4" spans="1:9" x14ac:dyDescent="0.25">
      <c r="A4" s="1"/>
      <c r="B4" s="131" t="s">
        <v>56</v>
      </c>
      <c r="C4" s="132"/>
      <c r="D4" s="132"/>
      <c r="E4" s="132"/>
      <c r="F4" s="132"/>
      <c r="G4" s="132"/>
      <c r="H4" s="133"/>
      <c r="I4" s="1"/>
    </row>
    <row r="5" spans="1:9" x14ac:dyDescent="0.25">
      <c r="A5" s="1"/>
      <c r="B5" s="141" t="s">
        <v>61</v>
      </c>
      <c r="C5" s="142"/>
      <c r="D5" s="142"/>
      <c r="E5" s="142"/>
      <c r="F5" s="143"/>
      <c r="G5" s="76">
        <v>67070704.414758794</v>
      </c>
      <c r="H5" s="14" t="s">
        <v>3</v>
      </c>
      <c r="I5" s="1"/>
    </row>
    <row r="6" spans="1:9" x14ac:dyDescent="0.25">
      <c r="A6" s="1"/>
      <c r="B6" s="141" t="s">
        <v>57</v>
      </c>
      <c r="C6" s="142"/>
      <c r="D6" s="142"/>
      <c r="E6" s="142"/>
      <c r="F6" s="143"/>
      <c r="G6" s="76">
        <f>G5*'Fane 15. Nøgletal'!C20</f>
        <v>610343.41017430509</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40"/>
      <c r="H9" s="133"/>
      <c r="I9" s="1"/>
    </row>
    <row r="10" spans="1:9" x14ac:dyDescent="0.25">
      <c r="A10" s="1"/>
      <c r="B10" s="141" t="s">
        <v>63</v>
      </c>
      <c r="C10" s="142"/>
      <c r="D10" s="142"/>
      <c r="E10" s="142"/>
      <c r="F10" s="143"/>
      <c r="G10" s="76">
        <f>(G5-G6)*(1+'Fane 15. Nøgletal'!C10)</f>
        <v>67623417.322164729</v>
      </c>
      <c r="H10" s="14" t="s">
        <v>3</v>
      </c>
      <c r="I10" s="1"/>
    </row>
    <row r="11" spans="1:9" x14ac:dyDescent="0.25">
      <c r="A11" s="1"/>
      <c r="B11" s="141" t="s">
        <v>122</v>
      </c>
      <c r="C11" s="142"/>
      <c r="D11" s="142"/>
      <c r="E11" s="142"/>
      <c r="F11" s="143"/>
      <c r="G11" s="76">
        <v>877879.01331424364</v>
      </c>
      <c r="H11" s="14" t="s">
        <v>3</v>
      </c>
      <c r="I11" s="1"/>
    </row>
    <row r="12" spans="1:9" x14ac:dyDescent="0.25">
      <c r="A12" s="1"/>
      <c r="B12" s="144" t="s">
        <v>64</v>
      </c>
      <c r="C12" s="145"/>
      <c r="D12" s="145"/>
      <c r="E12" s="145"/>
      <c r="F12" s="146"/>
      <c r="G12" s="77">
        <v>0</v>
      </c>
      <c r="H12" s="14" t="s">
        <v>3</v>
      </c>
      <c r="I12" s="1"/>
    </row>
    <row r="13" spans="1:9" x14ac:dyDescent="0.25">
      <c r="A13" s="1"/>
      <c r="B13" s="141" t="s">
        <v>65</v>
      </c>
      <c r="C13" s="142"/>
      <c r="D13" s="142"/>
      <c r="E13" s="142"/>
      <c r="F13" s="143"/>
      <c r="G13" s="76">
        <f>SUM(G10:G12)*'Fane 15. Nøgletal'!C21</f>
        <v>1212472.9451379778</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40"/>
      <c r="H16" s="133"/>
      <c r="I16" s="1"/>
    </row>
    <row r="17" spans="1:9" x14ac:dyDescent="0.25">
      <c r="A17" s="1"/>
      <c r="B17" s="141" t="s">
        <v>67</v>
      </c>
      <c r="C17" s="142"/>
      <c r="D17" s="142"/>
      <c r="E17" s="142"/>
      <c r="F17" s="143"/>
      <c r="G17" s="76">
        <f>(SUM(G10:G12)-G13)*(1+'Fane 15. Nøgletal'!C10)</f>
        <v>68466377.799671978</v>
      </c>
      <c r="H17" s="14" t="s">
        <v>3</v>
      </c>
      <c r="I17" s="1"/>
    </row>
    <row r="18" spans="1:9" x14ac:dyDescent="0.25">
      <c r="A18" s="1"/>
      <c r="B18" s="144" t="s">
        <v>68</v>
      </c>
      <c r="C18" s="145"/>
      <c r="D18" s="145"/>
      <c r="E18" s="145"/>
      <c r="F18" s="146"/>
      <c r="G18" s="76">
        <v>91439.020064249984</v>
      </c>
      <c r="H18" s="14" t="s">
        <v>3</v>
      </c>
      <c r="I18" s="1"/>
    </row>
    <row r="19" spans="1:9" x14ac:dyDescent="0.25">
      <c r="A19" s="1"/>
      <c r="B19" s="141" t="s">
        <v>69</v>
      </c>
      <c r="C19" s="142"/>
      <c r="D19" s="142"/>
      <c r="E19" s="142"/>
      <c r="F19" s="143"/>
      <c r="G19" s="76">
        <f>G17*'Fane 15. Nøgletal'!C21+G18*'Fane 15. Nøgletal'!C22</f>
        <v>1212650.406528753</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40"/>
      <c r="H22" s="133"/>
      <c r="I22" s="1"/>
    </row>
    <row r="23" spans="1:9" x14ac:dyDescent="0.25">
      <c r="A23" s="1"/>
      <c r="B23" s="141" t="s">
        <v>71</v>
      </c>
      <c r="C23" s="142"/>
      <c r="D23" s="142"/>
      <c r="E23" s="142"/>
      <c r="F23" s="143"/>
      <c r="G23" s="76">
        <f>(G17+G18-G19)*(1+'Fane 15. Nøgletal'!C12)</f>
        <v>68671866.191547662</v>
      </c>
      <c r="H23" s="14" t="s">
        <v>3</v>
      </c>
      <c r="I23" s="1"/>
    </row>
    <row r="24" spans="1:9" x14ac:dyDescent="0.25">
      <c r="A24" s="1"/>
      <c r="B24" s="144" t="s">
        <v>72</v>
      </c>
      <c r="C24" s="145"/>
      <c r="D24" s="145"/>
      <c r="E24" s="145"/>
      <c r="F24" s="146"/>
      <c r="G24" s="76">
        <v>26346.214675366351</v>
      </c>
      <c r="H24" s="14" t="s">
        <v>3</v>
      </c>
      <c r="I24" s="1"/>
    </row>
    <row r="25" spans="1:9" x14ac:dyDescent="0.25">
      <c r="A25" s="1"/>
      <c r="B25" s="141" t="s">
        <v>73</v>
      </c>
      <c r="C25" s="142"/>
      <c r="D25" s="142"/>
      <c r="E25" s="142"/>
      <c r="F25" s="143"/>
      <c r="G25" s="76">
        <f>(G23+G24)*'Fane 15. Nøgletal'!C23</f>
        <v>1951029.2323367342</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40"/>
      <c r="H28" s="133"/>
      <c r="I28" s="1"/>
    </row>
    <row r="29" spans="1:9" x14ac:dyDescent="0.25">
      <c r="A29" s="1"/>
      <c r="B29" s="141" t="s">
        <v>75</v>
      </c>
      <c r="C29" s="142"/>
      <c r="D29" s="142"/>
      <c r="E29" s="142"/>
      <c r="F29" s="143"/>
      <c r="G29" s="76">
        <f>(G23+G24-G25)*(1+'Fane 15. Nøgletal'!C12)</f>
        <v>68062102.682411849</v>
      </c>
      <c r="H29" s="14" t="s">
        <v>3</v>
      </c>
      <c r="I29" s="1"/>
    </row>
    <row r="30" spans="1:9" x14ac:dyDescent="0.25">
      <c r="A30" s="1"/>
      <c r="B30" s="141" t="s">
        <v>139</v>
      </c>
      <c r="C30" s="142"/>
      <c r="D30" s="142"/>
      <c r="E30" s="142"/>
      <c r="F30" s="143"/>
      <c r="G30" s="76">
        <v>622735.12863575993</v>
      </c>
      <c r="H30" s="14" t="s">
        <v>3</v>
      </c>
      <c r="I30" s="1"/>
    </row>
    <row r="31" spans="1:9" x14ac:dyDescent="0.25">
      <c r="A31" s="1"/>
      <c r="B31" s="141" t="s">
        <v>76</v>
      </c>
      <c r="C31" s="142"/>
      <c r="D31" s="142"/>
      <c r="E31" s="142"/>
      <c r="F31" s="143"/>
      <c r="G31" s="76">
        <f>G29*'Fane 15. Nøgletal'!C23+G30*'Fane 15. Nøgletal'!C24</f>
        <v>1950088.93221798</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40"/>
      <c r="H34" s="133"/>
      <c r="I34" s="1"/>
    </row>
    <row r="35" spans="1:9" x14ac:dyDescent="0.25">
      <c r="A35" s="1"/>
      <c r="B35" s="141" t="s">
        <v>78</v>
      </c>
      <c r="C35" s="142"/>
      <c r="D35" s="142"/>
      <c r="E35" s="142"/>
      <c r="F35" s="143"/>
      <c r="G35" s="76">
        <f>(G29+G30-G31)*(1+'Fane 15. Nøgletal'!C14)</f>
        <v>66954973.550129779</v>
      </c>
      <c r="H35" s="14" t="s">
        <v>3</v>
      </c>
      <c r="I35" s="1"/>
    </row>
    <row r="36" spans="1:9" x14ac:dyDescent="0.25">
      <c r="A36" s="1"/>
      <c r="B36" s="141" t="s">
        <v>167</v>
      </c>
      <c r="C36" s="142"/>
      <c r="D36" s="142"/>
      <c r="E36" s="142"/>
      <c r="F36" s="143"/>
      <c r="G36" s="76">
        <v>0</v>
      </c>
      <c r="H36" s="14" t="s">
        <v>3</v>
      </c>
      <c r="I36" s="1"/>
    </row>
    <row r="37" spans="1:9" x14ac:dyDescent="0.25">
      <c r="A37" s="1"/>
      <c r="B37" s="141" t="s">
        <v>166</v>
      </c>
      <c r="C37" s="142"/>
      <c r="D37" s="142"/>
      <c r="E37" s="142"/>
      <c r="F37" s="143"/>
      <c r="G37" s="76">
        <f>(G35+G36)*'Fane 15. Nøgletal'!C25</f>
        <v>990933.60854192078</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40"/>
      <c r="H40" s="133"/>
      <c r="I40" s="1"/>
    </row>
    <row r="41" spans="1:9" x14ac:dyDescent="0.25">
      <c r="A41" s="1"/>
      <c r="B41" s="141" t="s">
        <v>77</v>
      </c>
      <c r="C41" s="142"/>
      <c r="D41" s="142"/>
      <c r="E41" s="142"/>
      <c r="F41" s="143"/>
      <c r="G41" s="76">
        <f>(G35+G36-G37)*(1+'Fane 15. Nøgletal'!C14)</f>
        <v>66181721.273395106</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0</v>
      </c>
      <c r="H42" s="14" t="s">
        <v>3</v>
      </c>
      <c r="I42" s="1"/>
    </row>
    <row r="43" spans="1:9" x14ac:dyDescent="0.25">
      <c r="A43" s="1"/>
      <c r="B43" s="141" t="s">
        <v>168</v>
      </c>
      <c r="C43" s="142"/>
      <c r="D43" s="142"/>
      <c r="E43" s="142"/>
      <c r="F43" s="143"/>
      <c r="G43" s="76">
        <f>(G41)*'Fane 15. Nøgletal'!C25+G42*'Fane 15. Nøgletal'!C26</f>
        <v>979489.47484624758</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40"/>
      <c r="H52" s="133"/>
      <c r="I52" s="1"/>
    </row>
    <row r="53" spans="1:9" x14ac:dyDescent="0.25">
      <c r="A53" s="1"/>
      <c r="B53" s="141" t="s">
        <v>140</v>
      </c>
      <c r="C53" s="142"/>
      <c r="D53" s="142"/>
      <c r="E53" s="142"/>
      <c r="F53" s="143"/>
      <c r="G53" s="76">
        <f>(G41+G42-G43)*(1+'Fane 15. Nøgletal'!C15)</f>
        <v>67523431.250577211</v>
      </c>
      <c r="H53" s="14" t="s">
        <v>3</v>
      </c>
      <c r="I53" s="1"/>
    </row>
    <row r="54" spans="1:9" x14ac:dyDescent="0.25">
      <c r="A54" s="1"/>
      <c r="B54" s="141" t="s">
        <v>141</v>
      </c>
      <c r="C54" s="142"/>
      <c r="D54" s="142"/>
      <c r="E54" s="142"/>
      <c r="F54" s="143"/>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40"/>
      <c r="H57" s="133"/>
      <c r="I57" s="1"/>
    </row>
    <row r="58" spans="1:9" x14ac:dyDescent="0.25">
      <c r="A58" s="1"/>
      <c r="B58" s="141" t="s">
        <v>173</v>
      </c>
      <c r="C58" s="142"/>
      <c r="D58" s="142"/>
      <c r="E58" s="142"/>
      <c r="F58" s="143"/>
      <c r="G58" s="76">
        <f>(G53-G54)*(1+'Fane 15. Nøgletal'!C15)</f>
        <v>69927265.403097764</v>
      </c>
      <c r="H58" s="14" t="s">
        <v>3</v>
      </c>
      <c r="I58" s="1"/>
    </row>
    <row r="59" spans="1:9" x14ac:dyDescent="0.25">
      <c r="A59" s="1"/>
      <c r="B59" s="141" t="s">
        <v>174</v>
      </c>
      <c r="C59" s="142"/>
      <c r="D59" s="142"/>
      <c r="E59" s="142"/>
      <c r="F59" s="143"/>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40"/>
      <c r="H62" s="133"/>
      <c r="I62" s="1"/>
    </row>
    <row r="63" spans="1:9" x14ac:dyDescent="0.25">
      <c r="A63" s="1"/>
      <c r="B63" s="141" t="s">
        <v>197</v>
      </c>
      <c r="C63" s="142"/>
      <c r="D63" s="142"/>
      <c r="E63" s="142"/>
      <c r="F63" s="143"/>
      <c r="G63" s="76">
        <f>(G58-G59)*(1+'Fane 15. Nøgletal'!C15)</f>
        <v>72416676.051448047</v>
      </c>
      <c r="H63" s="14" t="s">
        <v>3</v>
      </c>
      <c r="I63" s="1"/>
    </row>
    <row r="64" spans="1:9" x14ac:dyDescent="0.25">
      <c r="A64" s="1"/>
      <c r="B64" s="141" t="s">
        <v>198</v>
      </c>
      <c r="C64" s="142"/>
      <c r="D64" s="142"/>
      <c r="E64" s="142"/>
      <c r="F64" s="143"/>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f9mzi+pJ+G5ifT86+Da7qSjBTlIbDP7Nx0owbNM0kga1UIq1F1z8KdliST00pkS4N/0WnXqcU9OVnb5a9Id63A==" saltValue="5qaySkxrEKp9DpTpme8K5A=="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3" t="s">
        <v>88</v>
      </c>
      <c r="C3" s="123"/>
      <c r="D3" s="123"/>
      <c r="E3" s="123"/>
      <c r="F3" s="123"/>
      <c r="G3" s="123"/>
      <c r="H3" s="1"/>
    </row>
    <row r="4" spans="1:8" ht="15" customHeight="1" x14ac:dyDescent="0.25">
      <c r="A4" s="1"/>
      <c r="B4" s="123"/>
      <c r="C4" s="123"/>
      <c r="D4" s="123"/>
      <c r="E4" s="123"/>
      <c r="F4" s="123"/>
      <c r="G4" s="12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41" t="s">
        <v>154</v>
      </c>
      <c r="C9" s="142"/>
      <c r="D9" s="142"/>
      <c r="E9" s="142"/>
      <c r="F9" s="143"/>
      <c r="G9" s="35">
        <v>0</v>
      </c>
      <c r="H9" s="1"/>
    </row>
    <row r="10" spans="1:8" x14ac:dyDescent="0.25">
      <c r="A10" s="1"/>
      <c r="B10" s="32"/>
      <c r="C10" s="27"/>
      <c r="D10" s="27"/>
      <c r="E10" s="27"/>
      <c r="F10" s="27"/>
      <c r="G10" s="19"/>
      <c r="H10" s="1"/>
    </row>
    <row r="11" spans="1:8" ht="29.25" customHeight="1" x14ac:dyDescent="0.25">
      <c r="A11" s="1"/>
      <c r="B11" s="152" t="s">
        <v>236</v>
      </c>
      <c r="C11" s="153"/>
      <c r="D11" s="153"/>
      <c r="E11" s="153"/>
      <c r="F11" s="153"/>
      <c r="G11" s="15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FZ2fWNNQXWxh0XDXiNQ+UiOQsUbl/hn19mb4f3Cm9PRkcwrx180mI6LlUVA0w1BbZQ6QBUGRyZmTYvLhC5Pd+Q==" saltValue="AXwob7eHX9F42tTT1P3Je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2022-12-01T08:46:37Z</dcterms:modified>
</cp:coreProperties>
</file>