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RINGKØBING-SKJERN RENSEANLÆG AS (S11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28" i="32" s="1"/>
  <c r="C32" i="2" s="1"/>
  <c r="E32" i="32" l="1"/>
  <c r="E34" i="32" s="1"/>
  <c r="C13" i="19"/>
  <c r="C20" i="23" l="1"/>
  <c r="C20" i="15"/>
  <c r="C20" i="22"/>
  <c r="E34" i="27"/>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<sst xmlns="http://schemas.openxmlformats.org/spreadsheetml/2006/main" count="605" uniqueCount="288">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</sst>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v+MEYCr33Vdt5h0GlRNvy1p04ozpBszu0u6JKenuwhRjDFPifSUF2Njy5RMr4iux4Ohg6dhF44OADdI1Rs5VWw==" saltValue="ZjtnD4Nk5ru7okCaqwmJG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1789169</v>
      </c>
      <c r="D10" s="14" t="s">
        <v>3</v>
      </c>
      <c r="E10" s="1"/>
      <c r="F10" s="1"/>
    </row>
    <row r="11" spans="1:6" x14ac:dyDescent="0.25">
      <c r="A11" s="1"/>
      <c r="B11" s="94" t="s">
        <v>266</v>
      </c>
      <c r="C11" s="9">
        <v>124105</v>
      </c>
      <c r="D11" s="14" t="s">
        <v>3</v>
      </c>
      <c r="E11" s="1"/>
      <c r="F11" s="1"/>
    </row>
    <row r="12" spans="1:6" x14ac:dyDescent="0.25">
      <c r="A12" s="1"/>
      <c r="B12" s="94" t="s">
        <v>267</v>
      </c>
      <c r="C12" s="9">
        <v>310865</v>
      </c>
      <c r="D12" s="14" t="s">
        <v>3</v>
      </c>
      <c r="E12" s="1"/>
      <c r="F12" s="1"/>
    </row>
    <row r="13" spans="1:6" x14ac:dyDescent="0.25">
      <c r="A13" s="1"/>
      <c r="B13" s="32" t="s">
        <v>200</v>
      </c>
      <c r="C13" s="12">
        <f>SUM(C10:C12)</f>
        <v>2224139</v>
      </c>
      <c r="D13" s="13" t="s">
        <v>3</v>
      </c>
      <c r="E13" s="1"/>
      <c r="F13" s="1"/>
    </row>
    <row r="14" spans="1:6" x14ac:dyDescent="0.25">
      <c r="A14" s="1"/>
      <c r="B14" s="32" t="s">
        <v>201</v>
      </c>
      <c r="C14" s="12">
        <f>C13*(1+'Fane 15. Nøgletal'!C15)^2</f>
        <v>2385316.4816030404</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7hdt1uJbj8KjRDIuzLmc7l0IH6ZTo+PdALMpaI4fp7fhDSXYRGaxpHFZtIuE1QPZJW9svx2tjvr8LSp2lV7aZQ==" saltValue="bhC0rISWf+lkfZihtvWln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-908431.76299056411</v>
      </c>
      <c r="F9" s="14" t="s">
        <v>3</v>
      </c>
      <c r="G9" s="1"/>
    </row>
    <row r="10" spans="1:7" x14ac:dyDescent="0.25">
      <c r="A10" s="1"/>
      <c r="B10" s="136" t="s">
        <v>263</v>
      </c>
      <c r="C10" s="137"/>
      <c r="D10" s="138"/>
      <c r="E10" s="9">
        <v>-486120.57567717135</v>
      </c>
      <c r="F10" s="14" t="s">
        <v>3</v>
      </c>
      <c r="G10" s="1"/>
    </row>
    <row r="11" spans="1:7" x14ac:dyDescent="0.25">
      <c r="A11" s="1"/>
      <c r="B11" s="32"/>
      <c r="C11" s="27"/>
      <c r="D11" s="27"/>
      <c r="E11" s="27"/>
      <c r="F11" s="19"/>
      <c r="G11" s="1"/>
    </row>
    <row r="12" spans="1:7" ht="81.75" customHeight="1" x14ac:dyDescent="0.25">
      <c r="A12" s="1"/>
      <c r="B12" s="121" t="s">
        <v>286</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-243060.38149528205</v>
      </c>
      <c r="F15" s="14" t="s">
        <v>3</v>
      </c>
      <c r="G15" s="1"/>
    </row>
    <row r="16" spans="1:7" x14ac:dyDescent="0.25">
      <c r="A16" s="1"/>
      <c r="B16" s="136" t="s">
        <v>282</v>
      </c>
      <c r="C16" s="137"/>
      <c r="D16" s="138"/>
      <c r="E16" s="9">
        <v>-243060.38149528205</v>
      </c>
      <c r="F16" s="14" t="s">
        <v>3</v>
      </c>
      <c r="G16" s="1"/>
    </row>
    <row r="17" spans="1:7" x14ac:dyDescent="0.25">
      <c r="A17" s="1"/>
      <c r="B17" s="32"/>
      <c r="C17" s="27"/>
      <c r="D17" s="27"/>
      <c r="E17" s="27"/>
      <c r="F17" s="19"/>
      <c r="G17" s="1"/>
    </row>
    <row r="18" spans="1:7" ht="31.5" customHeight="1" x14ac:dyDescent="0.25">
      <c r="A18" s="1"/>
      <c r="B18" s="121" t="s">
        <v>287</v>
      </c>
      <c r="C18" s="122"/>
      <c r="D18" s="122"/>
      <c r="E18" s="122"/>
      <c r="F18" s="123"/>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34709759.940185443</v>
      </c>
      <c r="F21" s="14" t="s">
        <v>3</v>
      </c>
      <c r="G21" s="1"/>
    </row>
    <row r="22" spans="1:7" x14ac:dyDescent="0.25">
      <c r="A22" s="1"/>
      <c r="B22" s="91" t="s">
        <v>207</v>
      </c>
      <c r="C22" s="92"/>
      <c r="D22" s="93"/>
      <c r="E22" s="9">
        <v>35274284</v>
      </c>
      <c r="F22" s="14" t="s">
        <v>3</v>
      </c>
      <c r="G22" s="1"/>
    </row>
    <row r="23" spans="1:7" x14ac:dyDescent="0.25">
      <c r="A23" s="1"/>
      <c r="B23" s="91" t="s">
        <v>33</v>
      </c>
      <c r="C23" s="92"/>
      <c r="D23" s="93"/>
      <c r="E23" s="9">
        <v>0</v>
      </c>
      <c r="F23" s="14" t="s">
        <v>3</v>
      </c>
      <c r="G23" s="1"/>
    </row>
    <row r="24" spans="1:7" x14ac:dyDescent="0.25">
      <c r="A24" s="1"/>
      <c r="B24" s="88" t="s">
        <v>268</v>
      </c>
      <c r="C24" s="89"/>
      <c r="D24" s="96"/>
      <c r="E24" s="72">
        <f>E21-(E22-E23)</f>
        <v>-564524.05981455743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8"/>
      <c r="E28" s="73">
        <f>IF(AND(E9&gt;0,(E9+E24)&gt;0),0,IF(AND(E9&gt;0,(E9+E24)&lt;0),0,IF(AND(E9&lt;0,E24&gt;0,E10=0),0,IF(AND(E9&lt;0,E24&gt;0,ABS(E10)&lt;ABS(E24)),ABS(E16),IF(AND(E9&lt;0,E24&gt;0,ABS(E10)&gt;ABS(E24),ABS(E16)&gt;ABS(E24)),-(ABS(E16)-ABS(E24)),IF(AND(E9&lt;0,E24&gt;0,ABS(E10)&gt;ABS(E24),ABS(E16)&lt;ABS(E24)),E24-ABS(E16),IF(AND(E9&lt;0,E24&lt;0),E16,0)))))))</f>
        <v>-243060.38149528205</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-564524.05981455743</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-141131.01495363936</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H6nyHRShxewvy05PoOfTOOnd31FiK/nXe9Ts9S5K79VywM+JPsUytEXMHNjRqi8gn7tJrIg97Iu3YCJAnydFSA==" saltValue="Ri1Wg/GA1LiLF2oFpGxvs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273</v>
      </c>
      <c r="C10" s="160"/>
      <c r="D10" s="160"/>
      <c r="E10" s="160"/>
      <c r="F10" s="161"/>
      <c r="G10" s="9">
        <v>-929486</v>
      </c>
      <c r="H10" s="9" t="s">
        <v>3</v>
      </c>
      <c r="I10" s="1"/>
    </row>
    <row r="11" spans="1:9" x14ac:dyDescent="0.25">
      <c r="A11" s="1"/>
      <c r="B11" s="159" t="s">
        <v>274</v>
      </c>
      <c r="C11" s="160"/>
      <c r="D11" s="160"/>
      <c r="E11" s="160"/>
      <c r="F11" s="161"/>
      <c r="G11" s="9">
        <v>-929485.66666666698</v>
      </c>
      <c r="H11" s="9" t="s">
        <v>3</v>
      </c>
      <c r="I11" s="1"/>
    </row>
    <row r="12" spans="1:9" x14ac:dyDescent="0.25">
      <c r="A12" s="1"/>
      <c r="B12" s="159" t="s">
        <v>275</v>
      </c>
      <c r="C12" s="160"/>
      <c r="D12" s="160"/>
      <c r="E12" s="160"/>
      <c r="F12" s="161"/>
      <c r="G12" s="9">
        <v>0</v>
      </c>
      <c r="H12" s="9" t="s">
        <v>3</v>
      </c>
      <c r="I12" s="1"/>
    </row>
    <row r="13" spans="1:9" x14ac:dyDescent="0.25">
      <c r="A13" s="1"/>
      <c r="B13" s="159" t="s">
        <v>276</v>
      </c>
      <c r="C13" s="160"/>
      <c r="D13" s="160"/>
      <c r="E13" s="160"/>
      <c r="F13" s="161"/>
      <c r="G13" s="9">
        <v>0</v>
      </c>
      <c r="H13" s="9" t="s">
        <v>3</v>
      </c>
      <c r="I13" s="1"/>
    </row>
    <row r="14" spans="1:9" x14ac:dyDescent="0.25">
      <c r="A14" s="1"/>
      <c r="B14" s="159" t="s">
        <v>277</v>
      </c>
      <c r="C14" s="160"/>
      <c r="D14" s="160"/>
      <c r="E14" s="160"/>
      <c r="F14" s="161"/>
      <c r="G14" s="9">
        <v>0</v>
      </c>
      <c r="H14" s="9" t="s">
        <v>3</v>
      </c>
      <c r="I14" s="1"/>
    </row>
    <row r="15" spans="1:9" x14ac:dyDescent="0.25">
      <c r="A15" s="1"/>
      <c r="B15" s="159" t="s">
        <v>278</v>
      </c>
      <c r="C15" s="160"/>
      <c r="D15" s="160"/>
      <c r="E15" s="160"/>
      <c r="F15" s="161"/>
      <c r="G15" s="9">
        <v>0</v>
      </c>
      <c r="H15" s="9" t="s">
        <v>3</v>
      </c>
      <c r="I15" s="1"/>
    </row>
    <row r="16" spans="1:9" x14ac:dyDescent="0.25">
      <c r="A16" s="1"/>
      <c r="B16" s="159" t="s">
        <v>279</v>
      </c>
      <c r="C16" s="160"/>
      <c r="D16" s="160"/>
      <c r="E16" s="160"/>
      <c r="F16" s="161"/>
      <c r="G16" s="9">
        <v>0</v>
      </c>
      <c r="H16" s="9" t="s">
        <v>3</v>
      </c>
      <c r="I16" s="1"/>
    </row>
    <row r="17" spans="1:9" x14ac:dyDescent="0.25">
      <c r="A17" s="1"/>
      <c r="B17" s="159" t="s">
        <v>280</v>
      </c>
      <c r="C17" s="160"/>
      <c r="D17" s="160"/>
      <c r="E17" s="160"/>
      <c r="F17" s="161"/>
      <c r="G17" s="9">
        <v>0</v>
      </c>
      <c r="H17" s="9" t="s">
        <v>3</v>
      </c>
      <c r="I17" s="1"/>
    </row>
    <row r="18" spans="1:9" x14ac:dyDescent="0.25">
      <c r="A18" s="1"/>
      <c r="B18" s="131" t="s">
        <v>252</v>
      </c>
      <c r="C18" s="132"/>
      <c r="D18" s="132"/>
      <c r="E18" s="132"/>
      <c r="F18" s="133"/>
      <c r="G18" s="12">
        <f>SUM(G10:G17)</f>
        <v>-1858971.666666667</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DKonxfhUQuSUPqwO8rxJKkrXC1l51QC2zukQiigFK9x62B/Nli05ly8AnIZRIThg7VL8DN2qeg56+wXkfDzfjg==" saltValue="CHp8YZAaa/wAsp43j+wefw=="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5ZVjsd23S1TLroj8S9RJJ/h77QC5xYJDg62/7m/T8K0G52695cS8vIwgTdDYJBdTOCcBA/arGVri0H35G2r7w==" saltValue="tYSBXmu1TKh4IriT0H8X0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271</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6A/v5aPvNkRvlSfRKj+/UDDXg+egkhQxFsrrHOe7+RMkEbgDjtZpk4ia5RzpotNIj9WONhfX9Td/+8GYFuDXfg==" saltValue="a1oRMhIZ11vJxOY2N+Nnm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269</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r1g354767n/lzRUF86l2tx/l5MUkA/ggY6KydyzjxJ/YMb/KdWkNckDiqgIlQSKiY7XzaT+nHnaNL4hC7s/Dw==" saltValue="O5GWx+Ae9DydI6l87H9zH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270</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K3Q+9cmO7x81YJ6XwElFuSoTLKtiGJUXbjrrtifGFwZFIbSsXq0J3fkcTlhMwztULMR43jsdr18nIdSjfWg8zQ==" saltValue="HWpLQdylxqk0SUDBANPPX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WNiRNmftzcL3gj8OjnJ3Q5Z5NTlesX4+p1V7Dr6dvH55UHTr1hRyzJ+VOPPXiuczzlLGXLi9BwSUV3FvCUZog==" saltValue="mGyfrSEkFXdRdOnpXGDS2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5703125" style="2" customWidth="1"/>
    <col min="2" max="2" width="40.42578125" style="2" customWidth="1"/>
    <col min="3" max="3" width="15.5703125" style="2" customWidth="1"/>
    <col min="4" max="4" width="3.28515625" style="2" customWidth="1"/>
    <col min="5" max="5" width="17.140625" style="2" customWidth="1"/>
    <col min="6" max="6" width="3.28515625" style="2" customWidth="1"/>
    <col min="7" max="7" width="2.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1kp2Pbh3HNtZWc5ZI5MdHSq3Ejf8YEE3TPM6ONO+P3zNzFx1T29b54nWwdjZibwzqzYeDyaE2p32WwwTZCrMA==" saltValue="alqwn+wNeNxp8+Y/izqtQ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1gII0GOA7Kb7MKunLOZSGai/zjBd/r8eRGJTqFMVxhU4g9KOU5RgeHagkSWXo9WfCl7IMPxAdxBMAkF5xTi5CQ==" saltValue="RlnlXJxV+vhtIGnxJgx5s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32344816.095888436</v>
      </c>
      <c r="D9" s="8" t="s">
        <v>3</v>
      </c>
      <c r="E9" s="1"/>
    </row>
    <row r="10" spans="1:5" ht="17.25" customHeight="1" x14ac:dyDescent="0.25">
      <c r="A10" s="1"/>
      <c r="B10" s="82" t="s">
        <v>39</v>
      </c>
      <c r="C10" s="7">
        <f>'Fane 11.1. Varige tillæg'!C13</f>
        <v>0</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106737.89311643183</v>
      </c>
      <c r="D16" s="8" t="s">
        <v>3</v>
      </c>
      <c r="E16" s="1"/>
    </row>
    <row r="17" spans="1:5" ht="17.25" customHeight="1" x14ac:dyDescent="0.25">
      <c r="A17" s="1"/>
      <c r="B17" s="82" t="s">
        <v>10</v>
      </c>
      <c r="C17" s="44">
        <f>-SUM(C9,C10:C16)*'Fane 5. Individuelt eff. krav'!G9</f>
        <v>-126208.93257972485</v>
      </c>
      <c r="D17" s="8" t="s">
        <v>3</v>
      </c>
      <c r="E17" s="1"/>
    </row>
    <row r="18" spans="1:5" ht="17.25" customHeight="1" x14ac:dyDescent="0.25">
      <c r="A18" s="1"/>
      <c r="B18" s="82" t="s">
        <v>24</v>
      </c>
      <c r="C18" s="44">
        <f>-'Fane 4.1. Gen. krav - drift'!G45</f>
        <v>-389819.22796497628</v>
      </c>
      <c r="D18" s="8" t="s">
        <v>3</v>
      </c>
      <c r="E18" s="1"/>
    </row>
    <row r="19" spans="1:5" ht="17.25" customHeight="1" x14ac:dyDescent="0.25">
      <c r="A19" s="1"/>
      <c r="B19" s="82" t="s">
        <v>25</v>
      </c>
      <c r="C19" s="44">
        <f>-'Fane 4.2. Gen. krav - anlæg'!G43</f>
        <v>-198548.42420515759</v>
      </c>
      <c r="D19" s="8" t="s">
        <v>3</v>
      </c>
      <c r="E19" s="48"/>
    </row>
    <row r="20" spans="1:5" ht="17.25" customHeight="1" x14ac:dyDescent="0.25">
      <c r="A20" s="1"/>
      <c r="B20" s="88" t="s">
        <v>21</v>
      </c>
      <c r="C20" s="10">
        <f>SUM(C9:C19)</f>
        <v>31736977.40425501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2385316.4816030404</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-243060.38149528205</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33879233.504362769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oNrfOzQRfbwl58y0WKSU1VW7JfUKRqu5TcEEKChLZPCYVHdoLciG1GeEkw7i9zGInzqxZac1c8VKepTPG5G5bg==" saltValue="5TIgmHHF4m6wTNXZDltKJ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xoP8+cOjBY7J3QBvfxG2xnu+Dckz69pukJGWNz7Y5f/86KHsxVcXCBbzcLmSoVcE79Otufo/oFySRfuPDtYnig==" saltValue="515zBA2RnlEgrFrW9EaIQ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31736977.40425501</v>
      </c>
      <c r="D9" s="8" t="s">
        <v>3</v>
      </c>
      <c r="E9" s="1"/>
    </row>
    <row r="10" spans="1:5" ht="15" customHeight="1" x14ac:dyDescent="0.25">
      <c r="A10" s="1"/>
      <c r="B10" s="25" t="s">
        <v>19</v>
      </c>
      <c r="C10" s="7">
        <f>SUM(C9:C9)*'Fane 15. Nøgletal'!C15</f>
        <v>1129836.3955914783</v>
      </c>
      <c r="D10" s="8" t="s">
        <v>3</v>
      </c>
      <c r="E10" s="1"/>
    </row>
    <row r="11" spans="1:5" ht="15" customHeight="1" x14ac:dyDescent="0.25">
      <c r="A11" s="1"/>
      <c r="B11" s="25" t="s">
        <v>10</v>
      </c>
      <c r="C11" s="9">
        <f>-SUM(C9:C10)*'Fane 5. Individuelt eff. krav'!G9</f>
        <v>-127823.93990687277</v>
      </c>
      <c r="D11" s="8" t="s">
        <v>3</v>
      </c>
      <c r="E11" s="1"/>
    </row>
    <row r="12" spans="1:5" ht="15" customHeight="1" x14ac:dyDescent="0.25">
      <c r="A12" s="1"/>
      <c r="B12" s="25" t="s">
        <v>24</v>
      </c>
      <c r="C12" s="9">
        <f>-'Fane 4.1. Gen. krav - drift'!G53</f>
        <v>-395622.85663091892</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32343367.003308699</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2470233.748348109</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-141131.01495363936</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34672469.736703172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RtDwr8M/f19PFjkuoqtlmPKghvGmB2/KWT3iYIvUoaVsEI3Jmzn/uHkjs2O/MB/uoKWOBRxyTSYTv0vwwYe8w==" saltValue="IEmfVAOsvU+2LBaz/6FlF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32343367.003308699</v>
      </c>
      <c r="D9" s="8" t="s">
        <v>3</v>
      </c>
      <c r="E9" s="1"/>
    </row>
    <row r="10" spans="1:5" ht="15" customHeight="1" x14ac:dyDescent="0.25">
      <c r="A10" s="1"/>
      <c r="B10" s="25" t="s">
        <v>19</v>
      </c>
      <c r="C10" s="7">
        <f>SUM(C9:C9)*'Fane 15. Nøgletal'!C15</f>
        <v>1151423.8653177896</v>
      </c>
      <c r="D10" s="8" t="s">
        <v>3</v>
      </c>
      <c r="E10" s="1"/>
    </row>
    <row r="11" spans="1:5" ht="15" customHeight="1" x14ac:dyDescent="0.25">
      <c r="A11" s="1"/>
      <c r="B11" s="25" t="s">
        <v>10</v>
      </c>
      <c r="C11" s="9">
        <f>-SUM(C9:C10)*'Fane 5. Individuelt eff. krav'!G9</f>
        <v>-130266.2363701522</v>
      </c>
      <c r="D11" s="8" t="s">
        <v>3</v>
      </c>
      <c r="E11" s="1"/>
    </row>
    <row r="12" spans="1:5" ht="15" customHeight="1" x14ac:dyDescent="0.25">
      <c r="A12" s="1"/>
      <c r="B12" s="25" t="s">
        <v>24</v>
      </c>
      <c r="C12" s="9">
        <f>-'Fane 4.1. Gen. krav - drift'!G58</f>
        <v>-401512.88972044009</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32963011.742535893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2558174.0697893016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-141131.01495363936</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35380054.797371551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kXIJKhFHNvHPwZdtaevHAFNYrbVMCdeci8f118E48G8U210Vnh6OzcHFyWL0sM7QiF88GDbvElr++xXZIUvzQ==" saltValue="t51MNDmfn5CYX3pPzgNvC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32963011.742535893</v>
      </c>
      <c r="D9" s="8" t="s">
        <v>3</v>
      </c>
      <c r="E9" s="1"/>
    </row>
    <row r="10" spans="1:5" ht="15" customHeight="1" x14ac:dyDescent="0.25">
      <c r="A10" s="1"/>
      <c r="B10" s="25" t="s">
        <v>19</v>
      </c>
      <c r="C10" s="7">
        <f>SUM(C9:C9)*'Fane 15. Nøgletal'!C15</f>
        <v>1173483.2180342777</v>
      </c>
      <c r="D10" s="8" t="s">
        <v>3</v>
      </c>
      <c r="E10" s="1"/>
    </row>
    <row r="11" spans="1:5" ht="15" customHeight="1" x14ac:dyDescent="0.25">
      <c r="A11" s="1"/>
      <c r="B11" s="25" t="s">
        <v>10</v>
      </c>
      <c r="C11" s="9">
        <f>-SUM(C9:C10)*'Fane 5. Individuelt eff. krav'!G9</f>
        <v>-132761.91927346383</v>
      </c>
      <c r="D11" s="8" t="s">
        <v>3</v>
      </c>
      <c r="E11" s="1"/>
    </row>
    <row r="12" spans="1:5" ht="15" customHeight="1" x14ac:dyDescent="0.25">
      <c r="A12" s="1"/>
      <c r="B12" s="25" t="s">
        <v>24</v>
      </c>
      <c r="C12" s="9">
        <f>-'Fane 4.1. Gen. krav - drift'!G63</f>
        <v>-407490.613622598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33596242.427674107</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2649245.0666738008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-141131.01495363936</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36104356.479394272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6ZHZscO32B+/CVNNcMQZ+H/6fQmEaiiP012guaoZkDmCEtZ9UEJ9qF1KCVuNoggZCmjlbPjZyA44awDCWUKe/Q==" saltValue="0PkXCSNwlWlEYzSbbn5Kl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1" t="s">
        <v>192</v>
      </c>
      <c r="C9" s="122"/>
      <c r="D9" s="123"/>
      <c r="E9" s="7">
        <v>32961993.268186081</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108774.57778501407</v>
      </c>
      <c r="F16" s="8" t="s">
        <v>3</v>
      </c>
      <c r="G16" s="1"/>
    </row>
    <row r="17" spans="1:7" ht="15" customHeight="1" x14ac:dyDescent="0.25">
      <c r="A17" s="1"/>
      <c r="B17" s="121" t="s">
        <v>10</v>
      </c>
      <c r="C17" s="122"/>
      <c r="D17" s="123"/>
      <c r="E17" s="9">
        <v>-128617.14760550637</v>
      </c>
      <c r="F17" s="8" t="s">
        <v>3</v>
      </c>
      <c r="G17" s="1"/>
    </row>
    <row r="18" spans="1:7" ht="15" customHeight="1" x14ac:dyDescent="0.25">
      <c r="A18" s="1"/>
      <c r="B18" s="121" t="s">
        <v>24</v>
      </c>
      <c r="C18" s="122"/>
      <c r="D18" s="123"/>
      <c r="E18" s="9">
        <f>-'Fane 4.1. Gen. krav - drift'!G39</f>
        <v>-396466.38334819209</v>
      </c>
      <c r="F18" s="8" t="s">
        <v>3</v>
      </c>
      <c r="G18" s="1"/>
    </row>
    <row r="19" spans="1:7" ht="15" customHeight="1" x14ac:dyDescent="0.25">
      <c r="A19" s="1"/>
      <c r="B19" s="121" t="s">
        <v>25</v>
      </c>
      <c r="C19" s="122"/>
      <c r="D19" s="123"/>
      <c r="E19" s="9">
        <f>-'Fane 4.2. Gen. krav - anlæg'!G37</f>
        <v>-200868.2191289629</v>
      </c>
      <c r="F19" s="8" t="s">
        <v>3</v>
      </c>
      <c r="G19" s="1"/>
    </row>
    <row r="20" spans="1:7" ht="15" customHeight="1" x14ac:dyDescent="0.25">
      <c r="A20" s="1"/>
      <c r="B20" s="54" t="s">
        <v>21</v>
      </c>
      <c r="C20" s="89"/>
      <c r="D20" s="96"/>
      <c r="E20" s="51">
        <f>SUM(E9:E19)</f>
        <v>32344816.095888436</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2244080.9413452703</v>
      </c>
      <c r="F22" s="11" t="s">
        <v>3</v>
      </c>
      <c r="G22" s="1"/>
    </row>
    <row r="23" spans="1:7" ht="15" customHeight="1" x14ac:dyDescent="0.25">
      <c r="A23" s="1"/>
      <c r="B23" s="131" t="s">
        <v>86</v>
      </c>
      <c r="C23" s="132"/>
      <c r="D23" s="133"/>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-243060.38149528205</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-929485.66666666698</v>
      </c>
      <c r="F34" s="11" t="s">
        <v>3</v>
      </c>
      <c r="G34" s="1"/>
    </row>
    <row r="35" spans="1:7" x14ac:dyDescent="0.25">
      <c r="A35" s="1"/>
      <c r="B35" s="55" t="s">
        <v>218</v>
      </c>
      <c r="C35" s="56"/>
      <c r="D35" s="19"/>
      <c r="E35" s="45">
        <f>SUM(E32,E30,E28,E24,E22,E20,E34)</f>
        <v>33416350.989071753</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7po42MJYW1T+sIAVVFjoTE4pBY1wNKj05lBFMwC6SGT4meZS+ArfOVZXE8lJeommfkkGhkseF0Tyip0ks8RO3Q==" saltValue="oDG1d2VJ28BlHQt6Xjd+3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28515625" style="2" customWidth="1"/>
    <col min="2" max="5" width="9.140625" style="2"/>
    <col min="6" max="6" width="24.1406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19612649</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392252.98</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19556752.950350001</v>
      </c>
      <c r="H11" s="14" t="s">
        <v>3</v>
      </c>
      <c r="I11" s="1"/>
    </row>
    <row r="12" spans="1:9" ht="15" customHeight="1" x14ac:dyDescent="0.25">
      <c r="A12" s="1"/>
      <c r="B12" s="136" t="s">
        <v>121</v>
      </c>
      <c r="C12" s="137"/>
      <c r="D12" s="137"/>
      <c r="E12" s="137"/>
      <c r="F12" s="138"/>
      <c r="G12" s="77">
        <v>101622.42337068034</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393167.50747441367</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19602349.003905579</v>
      </c>
      <c r="H19" s="14" t="s">
        <v>3</v>
      </c>
      <c r="I19" s="1"/>
    </row>
    <row r="20" spans="1:9" x14ac:dyDescent="0.25">
      <c r="A20" s="1"/>
      <c r="B20" s="143" t="s">
        <v>47</v>
      </c>
      <c r="C20" s="144"/>
      <c r="D20" s="144"/>
      <c r="E20" s="144"/>
      <c r="F20" s="145"/>
      <c r="G20" s="77">
        <v>330206.28515641991</v>
      </c>
      <c r="H20" s="14" t="s">
        <v>3</v>
      </c>
      <c r="I20" s="1"/>
    </row>
    <row r="21" spans="1:9" x14ac:dyDescent="0.25">
      <c r="A21" s="1"/>
      <c r="B21" s="136" t="s">
        <v>48</v>
      </c>
      <c r="C21" s="137"/>
      <c r="D21" s="137"/>
      <c r="E21" s="137"/>
      <c r="F21" s="138"/>
      <c r="G21" s="76">
        <f>SUM(G19:G20)*'Fane 15. Nøgletal'!C31</f>
        <v>398651.10578124004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19918722.095691394</v>
      </c>
      <c r="H25" s="14" t="s">
        <v>3</v>
      </c>
      <c r="I25" s="1"/>
    </row>
    <row r="26" spans="1:9" x14ac:dyDescent="0.25">
      <c r="A26" s="1"/>
      <c r="B26" s="143" t="s">
        <v>50</v>
      </c>
      <c r="C26" s="144"/>
      <c r="D26" s="144"/>
      <c r="E26" s="144"/>
      <c r="F26" s="145"/>
      <c r="G26" s="77">
        <v>256623.85976436001</v>
      </c>
      <c r="H26" s="14" t="s">
        <v>3</v>
      </c>
      <c r="I26" s="1"/>
    </row>
    <row r="27" spans="1:9" x14ac:dyDescent="0.25">
      <c r="A27" s="1"/>
      <c r="B27" s="136" t="s">
        <v>51</v>
      </c>
      <c r="C27" s="137"/>
      <c r="D27" s="137"/>
      <c r="E27" s="137"/>
      <c r="F27" s="138"/>
      <c r="G27" s="76">
        <f>(G25+G26)*'Fane 15. Nøgletal'!C31</f>
        <v>403506.91910911509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20161344.265362669</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403226.8853072534</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19823319.167409603</v>
      </c>
      <c r="H37" s="14" t="s">
        <v>3</v>
      </c>
      <c r="I37" s="1"/>
    </row>
    <row r="38" spans="1:9" x14ac:dyDescent="0.25">
      <c r="A38" s="1"/>
      <c r="B38" s="136" t="s">
        <v>164</v>
      </c>
      <c r="C38" s="137"/>
      <c r="D38" s="137"/>
      <c r="E38" s="137"/>
      <c r="F38" s="138"/>
      <c r="G38" s="76">
        <v>0</v>
      </c>
      <c r="H38" s="14" t="s">
        <v>3</v>
      </c>
      <c r="I38" s="1"/>
    </row>
    <row r="39" spans="1:9" x14ac:dyDescent="0.25">
      <c r="A39" s="1"/>
      <c r="B39" s="136" t="s">
        <v>162</v>
      </c>
      <c r="C39" s="137"/>
      <c r="D39" s="137"/>
      <c r="E39" s="137"/>
      <c r="F39" s="138"/>
      <c r="G39" s="76">
        <f>(G37+G38)*'Fane 15. Nøgletal'!C31</f>
        <v>396466.38334819209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19490961.398248814</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0</v>
      </c>
      <c r="H44" s="14" t="s">
        <v>3</v>
      </c>
      <c r="I44" s="1"/>
    </row>
    <row r="45" spans="1:9" x14ac:dyDescent="0.25">
      <c r="A45" s="1"/>
      <c r="B45" s="136" t="s">
        <v>163</v>
      </c>
      <c r="C45" s="137"/>
      <c r="D45" s="137"/>
      <c r="E45" s="137"/>
      <c r="F45" s="138"/>
      <c r="G45" s="76">
        <f>SUM(G43:G44)*'Fane 15. Nøgletal'!C31</f>
        <v>389819.22796497628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19781142.831545945</v>
      </c>
      <c r="H52" s="14" t="s">
        <v>3</v>
      </c>
      <c r="I52" s="1"/>
    </row>
    <row r="53" spans="1:9" x14ac:dyDescent="0.25">
      <c r="A53" s="1"/>
      <c r="B53" s="136" t="s">
        <v>138</v>
      </c>
      <c r="C53" s="137"/>
      <c r="D53" s="137"/>
      <c r="E53" s="137"/>
      <c r="F53" s="138"/>
      <c r="G53" s="76">
        <f>(G52)*'Fane 15. Nøgletal'!C31</f>
        <v>395622.85663091892</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20075644.486022003</v>
      </c>
      <c r="H57" s="14" t="s">
        <v>3</v>
      </c>
      <c r="I57" s="1"/>
    </row>
    <row r="58" spans="1:9" x14ac:dyDescent="0.25">
      <c r="A58" s="1"/>
      <c r="B58" s="91" t="s">
        <v>152</v>
      </c>
      <c r="C58" s="92"/>
      <c r="D58" s="92"/>
      <c r="E58" s="92"/>
      <c r="F58" s="93"/>
      <c r="G58" s="76">
        <f>(G57)*'Fane 15. Nøgletal'!C31</f>
        <v>401512.88972044009</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20374530.681129899</v>
      </c>
      <c r="H62" s="14" t="s">
        <v>3</v>
      </c>
      <c r="I62" s="1"/>
    </row>
    <row r="63" spans="1:9" x14ac:dyDescent="0.25">
      <c r="A63" s="1"/>
      <c r="B63" s="91" t="s">
        <v>195</v>
      </c>
      <c r="C63" s="92"/>
      <c r="D63" s="92"/>
      <c r="E63" s="92"/>
      <c r="F63" s="93"/>
      <c r="G63" s="76">
        <f>(G62)*'Fane 15. Nøgletal'!C31</f>
        <v>407490.613622598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RGhMHLusbytQXSwGi+T9vLAHkEiPcD6FQdQ9WLKpMKGSiTl86McfnLqhG5W5IIny6nrE248jotmUJd56H7UAdA==" saltValue="zWIZOzcWcwkzALSO0QdQj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7.8554687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14061323</v>
      </c>
      <c r="H5" s="14" t="s">
        <v>3</v>
      </c>
      <c r="I5" s="1"/>
    </row>
    <row r="6" spans="1:9" x14ac:dyDescent="0.25">
      <c r="A6" s="1"/>
      <c r="B6" s="136" t="s">
        <v>57</v>
      </c>
      <c r="C6" s="137"/>
      <c r="D6" s="137"/>
      <c r="E6" s="137"/>
      <c r="F6" s="138"/>
      <c r="G6" s="76">
        <f>G5*'Fane 15. Nøgletal'!C20</f>
        <v>127958.0393</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14177198.847512251</v>
      </c>
      <c r="H10" s="14" t="s">
        <v>3</v>
      </c>
      <c r="I10" s="1"/>
    </row>
    <row r="11" spans="1:9" x14ac:dyDescent="0.25">
      <c r="A11" s="1"/>
      <c r="B11" s="136" t="s">
        <v>122</v>
      </c>
      <c r="C11" s="137"/>
      <c r="D11" s="137"/>
      <c r="E11" s="137"/>
      <c r="F11" s="138"/>
      <c r="G11" s="76">
        <v>-735667.20966425072</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237915.10998990963</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13434679.817095609</v>
      </c>
      <c r="H17" s="14" t="s">
        <v>3</v>
      </c>
      <c r="I17" s="1"/>
    </row>
    <row r="18" spans="1:9" x14ac:dyDescent="0.25">
      <c r="A18" s="1"/>
      <c r="B18" s="143" t="s">
        <v>68</v>
      </c>
      <c r="C18" s="144"/>
      <c r="D18" s="144"/>
      <c r="E18" s="144"/>
      <c r="F18" s="145"/>
      <c r="G18" s="76">
        <v>344685.55186763994</v>
      </c>
      <c r="H18" s="14" t="s">
        <v>3</v>
      </c>
      <c r="I18" s="1"/>
    </row>
    <row r="19" spans="1:9" x14ac:dyDescent="0.25">
      <c r="A19" s="1"/>
      <c r="B19" s="136" t="s">
        <v>69</v>
      </c>
      <c r="C19" s="137"/>
      <c r="D19" s="137"/>
      <c r="E19" s="137"/>
      <c r="F19" s="138"/>
      <c r="G19" s="76">
        <f>G17*'Fane 15. Nøgletal'!C21+G18*'Fane 15. Nøgletal'!C22</f>
        <v>240792.59706384077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13805282.655505827</v>
      </c>
      <c r="H23" s="14" t="s">
        <v>3</v>
      </c>
      <c r="I23" s="1"/>
    </row>
    <row r="24" spans="1:9" x14ac:dyDescent="0.25">
      <c r="A24" s="1"/>
      <c r="B24" s="143" t="s">
        <v>72</v>
      </c>
      <c r="C24" s="144"/>
      <c r="D24" s="144"/>
      <c r="E24" s="144"/>
      <c r="F24" s="145"/>
      <c r="G24" s="76">
        <v>247789.30025767503</v>
      </c>
      <c r="H24" s="14" t="s">
        <v>3</v>
      </c>
      <c r="I24" s="1"/>
    </row>
    <row r="25" spans="1:9" x14ac:dyDescent="0.25">
      <c r="A25" s="1"/>
      <c r="B25" s="136" t="s">
        <v>73</v>
      </c>
      <c r="C25" s="137"/>
      <c r="D25" s="137"/>
      <c r="E25" s="137"/>
      <c r="F25" s="138"/>
      <c r="G25" s="76">
        <f>(G23+G24)*'Fane 15. Nøgletal'!C23</f>
        <v>399107.24354368349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13922947.81705055</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395411.71800423565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13572176.968173169</v>
      </c>
      <c r="H35" s="14" t="s">
        <v>3</v>
      </c>
      <c r="I35" s="1"/>
    </row>
    <row r="36" spans="1:9" x14ac:dyDescent="0.25">
      <c r="A36" s="1"/>
      <c r="B36" s="136" t="s">
        <v>167</v>
      </c>
      <c r="C36" s="137"/>
      <c r="D36" s="137"/>
      <c r="E36" s="137"/>
      <c r="F36" s="138"/>
      <c r="G36" s="76">
        <v>0</v>
      </c>
      <c r="H36" s="14" t="s">
        <v>3</v>
      </c>
      <c r="I36" s="1"/>
    </row>
    <row r="37" spans="1:9" x14ac:dyDescent="0.25">
      <c r="A37" s="1"/>
      <c r="B37" s="136" t="s">
        <v>166</v>
      </c>
      <c r="C37" s="137"/>
      <c r="D37" s="137"/>
      <c r="E37" s="137"/>
      <c r="F37" s="138"/>
      <c r="G37" s="76">
        <f>(G35+G36)*'Fane 15. Nøgletal'!C25</f>
        <v>200868.2191289629</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13415434.067916052</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36" t="s">
        <v>168</v>
      </c>
      <c r="C43" s="137"/>
      <c r="D43" s="137"/>
      <c r="E43" s="137"/>
      <c r="F43" s="138"/>
      <c r="G43" s="76">
        <f>(G41)*'Fane 15. Nøgletal'!C25+G42*'Fane 15. Nøgletal'!C26</f>
        <v>198548.42420515759</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13687406.772627003</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14174678.453732526</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14679297.006685404</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VvQFhekIC3Nk6gedxwUjZf2qpTminMSdpjgKB/wyMMfVEC7qCCkL10JDpGdeL+csWeedyYL0ncAeoZfCSPpzYg==" saltValue="FIZ35ISfpmLmhjPq+aTaS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3.8891491181743268E-3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aiJGTtBkojqmnEuWVGlu/DYELytGzE0mMjc4ZA80a/w4KLFyqVlDml90JHkYHywPmAXHVaP2orQJzedIm3k4+g==" saltValue="6h0PLbGvD7hxTcD65rd9G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2022-12-01T08:39:59Z</dcterms:modified>
</cp:coreProperties>
</file>