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DIN Forsyning Spildevand AS (S015)\ØR2024\"/>
    </mc:Choice>
  </mc:AlternateContent>
  <xr:revisionPtr revIDLastSave="0" documentId="13_ncr:1_{41B4360D-7145-4F1C-AC9F-2C37055072D3}"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E14" i="39" l="1"/>
  <c r="E15" i="39" s="1"/>
  <c r="C14" i="39"/>
  <c r="C15" i="39" s="1"/>
  <c r="E25" i="44" l="1"/>
  <c r="E16" i="44" l="1"/>
  <c r="E18" i="44" s="1"/>
  <c r="E17" i="44"/>
  <c r="E29" i="44" l="1"/>
  <c r="E31" i="44" s="1"/>
  <c r="G5" i="36"/>
  <c r="C20" i="15" l="1"/>
  <c r="C32" i="2"/>
  <c r="C9" i="2"/>
  <c r="E30" i="20" l="1"/>
  <c r="E29" i="20"/>
  <c r="E31" i="20" s="1"/>
  <c r="E24" i="20"/>
  <c r="E23" i="20"/>
  <c r="E25" i="20" s="1"/>
  <c r="G18" i="41" l="1"/>
  <c r="E17" i="20" l="1"/>
  <c r="E11" i="20"/>
  <c r="E13" i="20" s="1"/>
  <c r="C22" i="23" l="1"/>
  <c r="C22" i="22"/>
  <c r="C22" i="15"/>
  <c r="C36" i="2"/>
  <c r="C13" i="29" l="1"/>
  <c r="C14" i="29" s="1"/>
  <c r="E13" i="29"/>
  <c r="E14" i="2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<sst xmlns="http://schemas.openxmlformats.org/spreadsheetml/2006/main" count="665" uniqueCount="296">
  <si>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</si>
  <si>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</si>
  <si>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</si>
  <si>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</si>
  <si>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</si>
  <si>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</si>
  <si>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</si>
  <si>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</si>
  <si>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</si>
  <si>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</si>
  <si>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</si>
  <si>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</si>
  <si>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</si>
  <si>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</si>
  <si>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</si>
  <si>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</si>
  <si>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</si>
  <si>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</si>
  <si>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</si>
  <si>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</si>
  <si>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</si>
  <si>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</si>
  <si>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</si>
  <si>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</si>
  <si>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</si>
  <si>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</si>
  <si>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</si>
  <si>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</si>
  <si>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</si>
  <si>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</si>
  <si>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</si>
  <si>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</si>
  <si>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</si>
  <si>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</si>
  <si>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</si>
  <si>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</si>
  <si>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</si>
  <si>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</si>
  <si>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</si>
  <si>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</si>
  <si>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</si>
  <si>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</si>
  <si>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</si>
  <si>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</si>
  <si>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</si>
  <si>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</si>
  <si>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</si>
  <si>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</si>
  <si>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</si>
  <si>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</si>
  <si>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</si>
  <si>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</si>
  <si>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</si>
  <si>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</si>
  <si>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</si>
  <si>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</si>
  <si>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</si>
  <si>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</si>
  <si>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</si>
  <si>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</si>
  <si>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</si>
  <si>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</si>
  <si>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</si>
  <si>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</si>
  <si>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</si>
  <si>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</si>
  <si>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</si>
  <si>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</si>
  <si>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</si>
  <si>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</si>
  <si>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</si>
  <si>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</si>
  <si>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</si>
  <si>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</si>
  <si>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</si>
  <si>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</si>
  <si>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</si>
  <si>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</si>
  <si>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</si>
  <si>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</si>
  <si>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</si>
  <si>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</si>
  <si>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</si>
  <si>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</si>
  <si>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</si>
  <si>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</si>
  <si>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</si>
  <si>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</si>
  <si>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</si>
  <si>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</si>
  <si>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</si>
  <si>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</si>
  <si>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</si>
  <si>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</si>
  <si>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</si>
  <si>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</si>
  <si>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</si>
  <si>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</si>
  <si>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</si>
  <si>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</si>
  <si>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</si>
  <si>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</si>
  <si>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</si>
  <si>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</si>
  <si>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</si>
  <si>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</si>
  <si>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</si>
  <si>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</si>
  <si>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</si>
  <si>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</si>
  <si>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</si>
  <si>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</si>
  <si>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</si>
  <si>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</si>
  <si>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</si>
  <si>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</si>
  <si>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</si>
  <si>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</si>
  <si>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</si>
  <si>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</si>
  <si>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</si>
  <si>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</si>
  <si>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</si>
  <si>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</si>
  <si>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</si>
  <si>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</si>
  <si>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</si>
  <si>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</si>
  <si>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</si>
  <si>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</si>
  <si>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</si>
  <si>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</si>
  <si>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</si>
  <si>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</si>
  <si>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</si>
  <si>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</si>
  <si>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</si>
  <si>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</si>
  <si>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</si>
  <si>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</si>
  <si>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</si>
  <si>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</si>
  <si>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</si>
  <si>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</si>
  <si>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</si>
  <si>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</si>
  <si>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</si>
  <si>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</si>
  <si>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</si>
  <si>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</si>
  <si>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</si>
  <si>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</si>
  <si>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</si>
  <si>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</si>
  <si>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</si>
  <si>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</si>
  <si>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</si>
  <si>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</si>
  <si>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</si>
  <si>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</si>
  <si>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</si>
  <si>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</si>
  <si>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</si>
  <si>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</si>
  <si>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</si>
  <si>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</si>
  <si>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</si>
  <si>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</si>
  <si>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</si>
  <si>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</si>
  <si>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</si>
  <si>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</si>
  <si>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</si>
  <si>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</si>
  <si>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</si>
  <si>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</si>
  <si>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</si>
  <si>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</si>
  <si>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</si>
  <si>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</si>
  <si>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</si>
  <si>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</si>
  <si>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</si>
  <si>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</si>
  <si>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</si>
  <si>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</si>
  <si>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</si>
  <si>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</si>
  <si>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</si>
  <si>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</si>
  <si>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</si>
  <si>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</si>
  <si>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</si>
  <si>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</si>
  <si>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</si>
  <si>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</si>
  <si>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</si>
  <si>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</si>
  <si>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</si>
  <si>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</si>
  <si>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</si>
  <si>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</si>
  <si>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</si>
  <si>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</si>
  <si>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</si>
  <si>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</si>
  <si>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</si>
  <si>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</si>
  <si>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</si>
  <si>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</si>
  <si>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</si>
  <si>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</si>
  <si>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</si>
  <si>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</si>
  <si>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</si>
  <si>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</si>
  <si>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</si>
  <si>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</si>
  <si>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</si>
  <si>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</si>
  <si>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</si>
  <si>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</si>
  <si>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</si>
  <si>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</si>
  <si>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</si>
  <si>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</si>
  <si>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</si>
  <si>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</si>
  <si>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</si>
  <si>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</si>
  <si>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</si>
  <si>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</si>
  <si>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</si>
  <si>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</si>
  <si>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</si>
  <si>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</si>
  <si>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</si>
  <si>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</si>
  <si>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</si>
  <si>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</si>
  <si>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</si>
  <si>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</si>
  <si>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</si>
  <si>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</si>
  <si>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</si>
  <si>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</si>
  <si>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</si>
  <si>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</si>
  <si>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</si>
  <si>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</si>
  <si>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</si>
  <si>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</si>
  <si>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</si>
  <si>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</si>
  <si>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</si>
  <si>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</si>
  <si>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</si>
  <si>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</si>
  <si>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</si>
  <si>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</si>
  <si>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</si>
  <si>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</si>
  <si>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</si>
  <si>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</si>
  <si>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</si>
  <si>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</si>
  <si>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</si>
  <si>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</si>
  <si>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</si>
  <si>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</si>
  <si>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</si>
  <si>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</si>
  <si>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</si>
  <si>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</si>
  <si>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</si>
  <si>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Erstatninger</t>
  </si>
  <si>
    <t>NOx-, metan-, og biogasafgifter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</si>
  <si>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</si>
  <si>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</si>
  <si>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</si>
  <si>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</si>
  <si>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</si>
  <si>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</si>
  <si>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</si>
  <si>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</si>
  <si>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</si>
  <si>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</si>
  <si>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</si>
  <si>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</si>
  <si>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§11 stk 1 - Separatkloakering 2022</t>
  </si>
  <si>
    <t>Forsyningssikkerhed - Cybersikkerhed</t>
  </si>
  <si>
    <t>Handleplan 7. A – Håndtering af oversvømmelse af ”Bilka-krydset”</t>
  </si>
  <si>
    <t xml:space="preserve">§11 stk. 5 Udvidelser af forsyningsområde </t>
  </si>
  <si>
    <t xml:space="preserve">Prøvetagninger for PFAS </t>
  </si>
  <si>
    <t>Engangstillæg i alt i 2022-prisniveau</t>
  </si>
  <si>
    <t>Oprensning af regnvandsbassiner der ikke tidligere har været omfattet af ØR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</si>
</sst>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6" fontId="8" fillId="8" borderId="2" xfId="1" quotePrefix="1" applyNumberFormat="1" applyFont="1" applyFill="1" applyBorder="1" applyAlignment="1" applyProtection="1">
      <alignment horizontal="right" wrapText="1"/>
    </xf>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251</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261</v>
      </c>
      <c r="E15" s="90"/>
      <c r="F15" s="90"/>
      <c r="G15" s="91"/>
      <c r="H15" s="5"/>
      <c r="I15" s="1"/>
    </row>
    <row r="16" spans="1:9" x14ac:dyDescent="0.25">
      <c r="A16" s="1"/>
      <c r="B16" s="1"/>
      <c r="C16" s="6" t="s">
        <v>32</v>
      </c>
      <c r="D16" s="89" t="s">
        <v>262</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ELibd9v+t2T0LCX3D2RjphGu1mDCDp1IKDpdaTUScdggkijNo4f0wmMVuvKkHK+hB825DuMTEn81+KjevnAwHQ==" saltValue="5o03pV4Qm8VZjJ0MkAS3d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271</v>
      </c>
      <c r="C10" s="9">
        <v>3837569</v>
      </c>
      <c r="D10" s="14" t="s">
        <v>3</v>
      </c>
      <c r="E10" s="1"/>
      <c r="F10" s="1"/>
    </row>
    <row r="11" spans="1:6" ht="15" customHeight="1" x14ac:dyDescent="0.25">
      <c r="A11" s="1"/>
      <c r="B11" s="81" t="s">
        <v>272</v>
      </c>
      <c r="C11" s="9">
        <v>287115</v>
      </c>
      <c r="D11" s="14" t="s">
        <v>3</v>
      </c>
      <c r="E11" s="1"/>
      <c r="F11" s="1"/>
    </row>
    <row r="12" spans="1:6" ht="26.25" x14ac:dyDescent="0.25">
      <c r="A12" s="1"/>
      <c r="B12" s="29" t="s">
        <v>273</v>
      </c>
      <c r="C12" s="9">
        <v>1219686</v>
      </c>
      <c r="D12" s="14" t="s">
        <v>3</v>
      </c>
      <c r="E12" s="1"/>
      <c r="F12" s="1"/>
    </row>
    <row r="13" spans="1:6" x14ac:dyDescent="0.25">
      <c r="A13" s="1"/>
      <c r="B13" s="81" t="s">
        <v>274</v>
      </c>
      <c r="C13" s="9">
        <v>400553</v>
      </c>
      <c r="D13" s="14" t="s">
        <v>3</v>
      </c>
      <c r="E13" s="1"/>
      <c r="F13" s="1"/>
    </row>
    <row r="14" spans="1:6" x14ac:dyDescent="0.25">
      <c r="A14" s="1"/>
      <c r="B14" s="81" t="s">
        <v>275</v>
      </c>
      <c r="C14" s="9">
        <v>559255.18999999994</v>
      </c>
      <c r="D14" s="14" t="s">
        <v>3</v>
      </c>
      <c r="E14" s="1"/>
      <c r="F14" s="1"/>
    </row>
    <row r="15" spans="1:6" x14ac:dyDescent="0.25">
      <c r="A15" s="1"/>
      <c r="B15" s="81" t="s">
        <v>276</v>
      </c>
      <c r="C15" s="9">
        <v>76841</v>
      </c>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6381019.1899999995</v>
      </c>
      <c r="D20" s="13" t="s">
        <v>3</v>
      </c>
      <c r="E20" s="1"/>
      <c r="F20" s="1"/>
    </row>
    <row r="21" spans="1:6" x14ac:dyDescent="0.25">
      <c r="A21" s="1"/>
      <c r="B21" s="33" t="s">
        <v>227</v>
      </c>
      <c r="C21" s="12">
        <f>C20*(1+'Fane 15. Nøgletal'!C16)^2</f>
        <v>7453851.2682286007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260</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260</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cdZ4ycK+MFQDEasJFNNeEHm5xLapotzinAbB7zRL62nazfYldntLjDeiW+Cv+rKTloFEOhPKt8bA1LPsnD5XfA==" saltValue="LOux86ERTz/ODwObzYhoC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06A6-F276-4B1B-9B28-A3E60DA0F296}">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277</v>
      </c>
      <c r="C9" s="121"/>
      <c r="D9" s="122"/>
      <c r="E9" s="9">
        <v>9335770</v>
      </c>
      <c r="F9" s="14" t="s">
        <v>3</v>
      </c>
      <c r="G9" s="1"/>
    </row>
    <row r="10" spans="1:7" ht="15" customHeight="1" x14ac:dyDescent="0.25">
      <c r="A10" s="1"/>
      <c r="B10" s="120" t="s">
        <v>143</v>
      </c>
      <c r="C10" s="121"/>
      <c r="D10" s="122"/>
      <c r="E10" s="9">
        <v>-3672521</v>
      </c>
      <c r="F10" s="14" t="s">
        <v>3</v>
      </c>
      <c r="G10" s="1"/>
    </row>
    <row r="11" spans="1:7" ht="15" customHeight="1" x14ac:dyDescent="0.25">
      <c r="A11" s="1"/>
      <c r="B11" s="120" t="s">
        <v>278</v>
      </c>
      <c r="C11" s="121"/>
      <c r="D11" s="122"/>
      <c r="E11" s="9">
        <v>-11346117</v>
      </c>
      <c r="F11" s="14" t="s">
        <v>3</v>
      </c>
      <c r="G11" s="1"/>
    </row>
    <row r="12" spans="1:7" x14ac:dyDescent="0.25">
      <c r="A12" s="1"/>
      <c r="B12" s="33"/>
      <c r="C12" s="28"/>
      <c r="D12" s="28"/>
      <c r="E12" s="28"/>
      <c r="F12" s="19"/>
      <c r="G12" s="1"/>
    </row>
    <row r="13" spans="1:7" ht="42" customHeight="1" x14ac:dyDescent="0.25">
      <c r="A13" s="1"/>
      <c r="B13" s="114" t="s">
        <v>279</v>
      </c>
      <c r="C13" s="115"/>
      <c r="D13" s="115"/>
      <c r="E13" s="115"/>
      <c r="F13" s="116"/>
      <c r="G13" s="1"/>
    </row>
    <row r="14" spans="1:7" ht="15" customHeight="1" x14ac:dyDescent="0.25">
      <c r="A14" s="1"/>
      <c r="B14" s="1"/>
      <c r="C14" s="1"/>
      <c r="D14" s="1"/>
      <c r="E14" s="1"/>
      <c r="F14" s="1"/>
      <c r="G14" s="1"/>
    </row>
    <row r="15" spans="1:7" x14ac:dyDescent="0.25">
      <c r="A15" s="1"/>
      <c r="B15" s="75" t="s">
        <v>280</v>
      </c>
      <c r="C15" s="76"/>
      <c r="D15" s="76"/>
      <c r="E15" s="76"/>
      <c r="F15" s="77"/>
      <c r="G15" s="1"/>
    </row>
    <row r="16" spans="1:7" x14ac:dyDescent="0.25">
      <c r="A16" s="1"/>
      <c r="B16" s="78" t="s">
        <v>281</v>
      </c>
      <c r="C16" s="79"/>
      <c r="D16" s="80"/>
      <c r="E16" s="9">
        <f>IF(E11&lt;0,E11,0)</f>
        <v>-11346117</v>
      </c>
      <c r="F16" s="14" t="s">
        <v>3</v>
      </c>
      <c r="G16" s="1"/>
    </row>
    <row r="17" spans="1:7" x14ac:dyDescent="0.25">
      <c r="A17" s="1"/>
      <c r="B17" s="78" t="s">
        <v>282</v>
      </c>
      <c r="C17" s="79"/>
      <c r="D17" s="80"/>
      <c r="E17" s="9">
        <f>IF(SUM(E10)&gt;0,SUM(E10),0)</f>
        <v>0</v>
      </c>
      <c r="F17" s="14" t="s">
        <v>3</v>
      </c>
      <c r="G17" s="1"/>
    </row>
    <row r="18" spans="1:7" x14ac:dyDescent="0.25">
      <c r="A18" s="1"/>
      <c r="B18" s="82" t="s">
        <v>283</v>
      </c>
      <c r="C18" s="83"/>
      <c r="D18" s="84"/>
      <c r="E18" s="62">
        <f>IF(SUM(E16:E17)&gt;0,0,SUM(E16:E17))</f>
        <v>-11346117</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284</v>
      </c>
      <c r="C21" s="76"/>
      <c r="D21" s="76"/>
      <c r="E21" s="76"/>
      <c r="F21" s="77"/>
      <c r="G21" s="1"/>
    </row>
    <row r="22" spans="1:7" x14ac:dyDescent="0.25">
      <c r="A22" s="1"/>
      <c r="B22" s="78" t="s">
        <v>285</v>
      </c>
      <c r="C22" s="79"/>
      <c r="D22" s="80"/>
      <c r="E22" s="9">
        <v>265544415</v>
      </c>
      <c r="F22" s="14" t="s">
        <v>3</v>
      </c>
      <c r="G22" s="1"/>
    </row>
    <row r="23" spans="1:7" x14ac:dyDescent="0.25">
      <c r="A23" s="1"/>
      <c r="B23" s="78" t="s">
        <v>286</v>
      </c>
      <c r="C23" s="79"/>
      <c r="D23" s="80"/>
      <c r="E23" s="9">
        <v>259996141</v>
      </c>
      <c r="F23" s="14" t="s">
        <v>3</v>
      </c>
      <c r="G23" s="1"/>
    </row>
    <row r="24" spans="1:7" x14ac:dyDescent="0.25">
      <c r="A24" s="1"/>
      <c r="B24" s="78" t="s">
        <v>30</v>
      </c>
      <c r="C24" s="79"/>
      <c r="D24" s="80"/>
      <c r="E24" s="9">
        <v>0</v>
      </c>
      <c r="F24" s="14" t="s">
        <v>3</v>
      </c>
      <c r="G24" s="1"/>
    </row>
    <row r="25" spans="1:7" x14ac:dyDescent="0.25">
      <c r="A25" s="1"/>
      <c r="B25" s="82" t="s">
        <v>287</v>
      </c>
      <c r="C25" s="83"/>
      <c r="D25" s="84"/>
      <c r="E25" s="62">
        <f>E22-E23-E24</f>
        <v>5548274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288</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-11346117</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-5673058.5</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I/Yn3fPtBCegKCkb4gyv6KMk8XXlpTzpTCz7mChp5JKIsYRQpwnVVoAtCB3GF+8s9UEW4U25lwwsYHQRE1Pbsw==" saltValue="2kn6T9X12AeFo1ZjOrElaw=="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a8IHbV/aR+NjQlDUcYXlBd15XrDXj1VMK/7OJRxYzyU/ihGfqvTzjIh8DO8uok4jGOb2WQsf9NJjVDanYfPBiw==" saltValue="uuVdBwEV+yG1LvpBMFXaH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H/YyM2BPCqiiOQOCOauWz/NQ3jpw7IpNm9b15nzjC7Tp9bo2JtSAT0wNkOghen6A5pz+lOrQnpEdw5wUWentg==" saltValue="hS9AQ0LiGNyRa6t+DK21a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264</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agtdYkqw80K/YlDvg7oOOQ0a+YlDm1yOdjpkFtIl/JDk8UXI21Jtrr13n35IREWzVET7Dm5ujVIwXJzNqoWySQ==" saltValue="EVT4H6RV/mkCpfJ2KyRH1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289</v>
      </c>
      <c r="C11" s="21">
        <v>936720</v>
      </c>
      <c r="D11" s="14" t="s">
        <v>3</v>
      </c>
      <c r="E11" s="9">
        <v>2752952</v>
      </c>
      <c r="F11" s="14" t="s">
        <v>3</v>
      </c>
      <c r="G11" s="1"/>
    </row>
    <row r="12" spans="1:7" x14ac:dyDescent="0.25">
      <c r="A12" s="1"/>
      <c r="B12" s="24" t="s">
        <v>290</v>
      </c>
      <c r="C12" s="21">
        <v>0</v>
      </c>
      <c r="D12" s="14" t="s">
        <v>3</v>
      </c>
      <c r="E12" s="9">
        <v>315896</v>
      </c>
      <c r="F12" s="14" t="s">
        <v>3</v>
      </c>
      <c r="G12" s="1"/>
    </row>
    <row r="13" spans="1:7" ht="26.25" x14ac:dyDescent="0.25">
      <c r="A13" s="1"/>
      <c r="B13" s="71" t="s">
        <v>291</v>
      </c>
      <c r="C13" s="21">
        <v>0</v>
      </c>
      <c r="D13" s="14" t="s">
        <v>3</v>
      </c>
      <c r="E13" s="9">
        <v>24304</v>
      </c>
      <c r="F13" s="14" t="s">
        <v>3</v>
      </c>
      <c r="G13" s="1"/>
    </row>
    <row r="14" spans="1:7" x14ac:dyDescent="0.25">
      <c r="A14" s="1"/>
      <c r="B14" s="24" t="s">
        <v>292</v>
      </c>
      <c r="C14" s="21">
        <v>914000</v>
      </c>
      <c r="D14" s="14" t="s">
        <v>3</v>
      </c>
      <c r="E14" s="9">
        <v>1329056</v>
      </c>
      <c r="F14" s="14" t="s">
        <v>3</v>
      </c>
      <c r="G14" s="1"/>
    </row>
    <row r="15" spans="1:7" ht="26.25" x14ac:dyDescent="0.25">
      <c r="A15" s="1"/>
      <c r="B15" s="71" t="s">
        <v>295</v>
      </c>
      <c r="C15" s="21">
        <v>222318</v>
      </c>
      <c r="D15" s="14" t="s">
        <v>3</v>
      </c>
      <c r="E15" s="9">
        <v>0</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2073038</v>
      </c>
      <c r="D19" s="13" t="s">
        <v>3</v>
      </c>
      <c r="E19" s="12">
        <f>SUM(E10:E18)</f>
        <v>4422208</v>
      </c>
      <c r="F19" s="13" t="s">
        <v>3</v>
      </c>
      <c r="G19" s="1"/>
    </row>
    <row r="20" spans="1:7" x14ac:dyDescent="0.25">
      <c r="A20" s="1"/>
      <c r="B20" s="33" t="s">
        <v>233</v>
      </c>
      <c r="C20" s="12">
        <f>C19*(1+'Fane 15. Nøgletal'!C16)</f>
        <v>2240539.4704</v>
      </c>
      <c r="D20" s="13" t="s">
        <v>3</v>
      </c>
      <c r="E20" s="12">
        <f>E19*(1+'Fane 15. Nøgletal'!C16)</f>
        <v>4779522.4063999997</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MDT7m0aPtSgx2EeXo7kY+uSIPwKY3FO5uKNJsqoJNRtubywV2qLHVrmJqW8BznRn+gBivJ3dlDv+89KMet1QA==" saltValue="flgDrtTvPT1Aa57Azso55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259</v>
      </c>
      <c r="C8" s="118"/>
      <c r="D8" s="118"/>
      <c r="E8" s="118"/>
      <c r="F8" s="119"/>
      <c r="G8" s="1"/>
    </row>
    <row r="9" spans="1:7" x14ac:dyDescent="0.25">
      <c r="A9" s="1"/>
      <c r="B9" s="86" t="s">
        <v>17</v>
      </c>
      <c r="C9" s="86" t="s">
        <v>11</v>
      </c>
      <c r="D9" s="87"/>
      <c r="E9" s="86" t="s">
        <v>28</v>
      </c>
      <c r="F9" s="32"/>
      <c r="G9" s="1"/>
    </row>
    <row r="10" spans="1:7" x14ac:dyDescent="0.25">
      <c r="A10" s="1"/>
      <c r="B10" s="24" t="s">
        <v>289</v>
      </c>
      <c r="C10" s="21">
        <v>0</v>
      </c>
      <c r="D10" s="14" t="s">
        <v>3</v>
      </c>
      <c r="E10" s="9">
        <v>137748</v>
      </c>
      <c r="F10" s="14" t="s">
        <v>3</v>
      </c>
      <c r="G10" s="1"/>
    </row>
    <row r="11" spans="1:7" x14ac:dyDescent="0.25">
      <c r="A11" s="1"/>
      <c r="B11" s="24" t="s">
        <v>293</v>
      </c>
      <c r="C11" s="21">
        <v>297354</v>
      </c>
      <c r="D11" s="14" t="s">
        <v>3</v>
      </c>
      <c r="E11" s="9">
        <v>0</v>
      </c>
      <c r="F11" s="14" t="s">
        <v>3</v>
      </c>
      <c r="G11" s="1"/>
    </row>
    <row r="12" spans="1:7" x14ac:dyDescent="0.25">
      <c r="A12" s="1"/>
      <c r="B12" s="24" t="s">
        <v>292</v>
      </c>
      <c r="C12" s="21">
        <v>0</v>
      </c>
      <c r="D12" s="14" t="s">
        <v>3</v>
      </c>
      <c r="E12" s="9">
        <v>87252</v>
      </c>
      <c r="F12" s="14" t="s">
        <v>3</v>
      </c>
      <c r="G12" s="1"/>
    </row>
    <row r="13" spans="1:7" ht="26.25" x14ac:dyDescent="0.25">
      <c r="A13" s="1"/>
      <c r="B13" s="71" t="s">
        <v>295</v>
      </c>
      <c r="C13" s="21">
        <v>2223177</v>
      </c>
      <c r="D13" s="14" t="s">
        <v>3</v>
      </c>
      <c r="E13" s="9">
        <v>0</v>
      </c>
      <c r="F13" s="14" t="s">
        <v>3</v>
      </c>
      <c r="G13" s="1"/>
    </row>
    <row r="14" spans="1:7" x14ac:dyDescent="0.25">
      <c r="A14" s="1"/>
      <c r="B14" s="33" t="s">
        <v>294</v>
      </c>
      <c r="C14" s="12">
        <f>SUM(C10:C13)</f>
        <v>2520531</v>
      </c>
      <c r="D14" s="13" t="s">
        <v>3</v>
      </c>
      <c r="E14" s="12">
        <f>SUM(E10:E13)</f>
        <v>225000</v>
      </c>
      <c r="F14" s="13" t="s">
        <v>3</v>
      </c>
      <c r="G14" s="1"/>
    </row>
    <row r="15" spans="1:7" x14ac:dyDescent="0.25">
      <c r="A15" s="1"/>
      <c r="B15" s="33" t="s">
        <v>234</v>
      </c>
      <c r="C15" s="12">
        <f>C14*(1+'Fane 15. Nøgletal'!C16)^2</f>
        <v>2944304.4491078397</v>
      </c>
      <c r="D15" s="13" t="s">
        <v>3</v>
      </c>
      <c r="E15" s="12">
        <f>E14*(1+'Fane 15. Nøgletal'!C16)^2</f>
        <v>262828.94399999996</v>
      </c>
      <c r="F15" s="13" t="s">
        <v>3</v>
      </c>
      <c r="G15" s="1"/>
    </row>
    <row r="16" spans="1:7" x14ac:dyDescent="0.25">
      <c r="A16" s="1"/>
      <c r="B16" s="1"/>
      <c r="C16" s="1"/>
      <c r="D16" s="1"/>
      <c r="E16" s="1"/>
      <c r="F16" s="1"/>
      <c r="G16" s="1"/>
    </row>
    <row r="17" spans="1:7" x14ac:dyDescent="0.25">
      <c r="A17" s="1"/>
      <c r="B17" s="149"/>
      <c r="C17" s="149"/>
      <c r="D17" s="149"/>
      <c r="E17" s="149"/>
      <c r="F17" s="149"/>
      <c r="G17" s="1"/>
    </row>
    <row r="18" spans="1:7" x14ac:dyDescent="0.25">
      <c r="A18" s="1"/>
      <c r="B18" s="52"/>
      <c r="C18" s="52"/>
      <c r="D18" s="52"/>
      <c r="E18" s="52"/>
      <c r="F18" s="53"/>
      <c r="G18" s="1"/>
    </row>
    <row r="19" spans="1:7" x14ac:dyDescent="0.25">
      <c r="A19" s="1"/>
      <c r="B19" s="54"/>
      <c r="C19" s="55"/>
      <c r="D19" s="56"/>
      <c r="E19" s="57"/>
      <c r="F19" s="56"/>
      <c r="G19" s="1"/>
    </row>
    <row r="20" spans="1:7" x14ac:dyDescent="0.25">
      <c r="A20" s="1"/>
      <c r="B20" s="54"/>
      <c r="C20" s="55"/>
      <c r="D20" s="56"/>
      <c r="E20" s="57"/>
      <c r="F20" s="56"/>
      <c r="G20" s="1"/>
    </row>
    <row r="21" spans="1:7" x14ac:dyDescent="0.25">
      <c r="A21" s="1"/>
      <c r="B21" s="58"/>
      <c r="C21" s="59"/>
      <c r="D21" s="60"/>
      <c r="E21" s="59"/>
      <c r="F21" s="60"/>
      <c r="G21" s="1"/>
    </row>
    <row r="22" spans="1:7" x14ac:dyDescent="0.25">
      <c r="A22" s="1"/>
      <c r="B22" s="58"/>
      <c r="C22" s="59"/>
      <c r="D22" s="60"/>
      <c r="E22" s="59"/>
      <c r="F22" s="60"/>
      <c r="G22" s="1"/>
    </row>
    <row r="23" spans="1:7" x14ac:dyDescent="0.25">
      <c r="A23" s="1"/>
      <c r="B23" s="51"/>
      <c r="C23" s="51"/>
      <c r="D23" s="51"/>
      <c r="E23" s="51"/>
      <c r="F23" s="51"/>
      <c r="G23" s="1"/>
    </row>
    <row r="24" spans="1:7" x14ac:dyDescent="0.25">
      <c r="A24" s="1"/>
      <c r="B24" s="149"/>
      <c r="C24" s="149"/>
      <c r="D24" s="149"/>
      <c r="E24" s="149"/>
      <c r="F24" s="149"/>
      <c r="G24" s="1"/>
    </row>
    <row r="25" spans="1:7" x14ac:dyDescent="0.25">
      <c r="A25" s="1"/>
      <c r="B25" s="52"/>
      <c r="C25" s="52"/>
      <c r="D25" s="52"/>
      <c r="E25" s="52"/>
      <c r="F25" s="53"/>
      <c r="G25" s="1"/>
    </row>
    <row r="26" spans="1:7" x14ac:dyDescent="0.25">
      <c r="A26" s="1"/>
      <c r="B26" s="54"/>
      <c r="C26" s="55"/>
      <c r="D26" s="56"/>
      <c r="E26" s="57"/>
      <c r="F26" s="56"/>
      <c r="G26" s="1"/>
    </row>
    <row r="27" spans="1:7" x14ac:dyDescent="0.25">
      <c r="A27" s="1"/>
      <c r="B27" s="54"/>
      <c r="C27" s="55"/>
      <c r="D27" s="56"/>
      <c r="E27" s="57"/>
      <c r="F27" s="56"/>
      <c r="G27" s="1"/>
    </row>
    <row r="28" spans="1:7" x14ac:dyDescent="0.25">
      <c r="A28" s="1"/>
      <c r="B28" s="58"/>
      <c r="C28" s="59"/>
      <c r="D28" s="60"/>
      <c r="E28" s="59"/>
      <c r="F28" s="60"/>
      <c r="G28" s="1"/>
    </row>
    <row r="29" spans="1:7" x14ac:dyDescent="0.25">
      <c r="A29" s="1"/>
      <c r="B29" s="58"/>
      <c r="C29" s="59"/>
      <c r="D29" s="60"/>
      <c r="E29" s="59"/>
      <c r="F29" s="60"/>
      <c r="G29" s="1"/>
    </row>
    <row r="30" spans="1:7" x14ac:dyDescent="0.25">
      <c r="A30" s="1"/>
      <c r="B30" s="51"/>
      <c r="C30" s="51"/>
      <c r="D30" s="51"/>
      <c r="E30" s="51"/>
      <c r="F30" s="51"/>
      <c r="G30" s="1"/>
    </row>
    <row r="31" spans="1:7" x14ac:dyDescent="0.25">
      <c r="A31" s="1"/>
      <c r="B31" s="149"/>
      <c r="C31" s="149"/>
      <c r="D31" s="149"/>
      <c r="E31" s="149"/>
      <c r="F31" s="149"/>
      <c r="G31" s="1"/>
    </row>
    <row r="32" spans="1:7" x14ac:dyDescent="0.25">
      <c r="A32" s="1"/>
      <c r="B32" s="52"/>
      <c r="C32" s="52"/>
      <c r="D32" s="52"/>
      <c r="E32" s="52"/>
      <c r="F32" s="53"/>
      <c r="G32" s="1"/>
    </row>
    <row r="33" spans="1:7" x14ac:dyDescent="0.25">
      <c r="A33" s="1"/>
      <c r="B33" s="54"/>
      <c r="C33" s="55"/>
      <c r="D33" s="56"/>
      <c r="E33" s="57"/>
      <c r="F33" s="56"/>
      <c r="G33" s="1"/>
    </row>
    <row r="34" spans="1:7" x14ac:dyDescent="0.25">
      <c r="A34" s="1"/>
      <c r="B34" s="54"/>
      <c r="C34" s="55"/>
      <c r="D34" s="56"/>
      <c r="E34" s="57"/>
      <c r="F34" s="56"/>
      <c r="G34" s="1"/>
    </row>
    <row r="35" spans="1:7" x14ac:dyDescent="0.25">
      <c r="A35" s="1"/>
      <c r="B35" s="58"/>
      <c r="C35" s="59"/>
      <c r="D35" s="60"/>
      <c r="E35" s="59"/>
      <c r="F35" s="60"/>
      <c r="G35" s="1"/>
    </row>
    <row r="36" spans="1:7" x14ac:dyDescent="0.25">
      <c r="A36" s="1"/>
      <c r="B36" s="58"/>
      <c r="C36" s="59"/>
      <c r="D36" s="60"/>
      <c r="E36" s="59"/>
      <c r="F36" s="6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NsPMwvGaJW+v1LOmObMSu109WteXm+3BunEoKLOVaHrZk2TQh5oTAMiKzmkeq21us/yZa7LnF8sqre8xQDurw==" saltValue="fD38Sphj4NQV3R7l3f4W8w==" spinCount="100000" sheet="1" objects="1" scenarios="1"/>
  <mergeCells count="5">
    <mergeCell ref="B31:F31"/>
    <mergeCell ref="B3:F4"/>
    <mergeCell ref="B8:F8"/>
    <mergeCell ref="B17:F17"/>
    <mergeCell ref="B24:F2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235</v>
      </c>
      <c r="C10" s="142"/>
      <c r="D10" s="143"/>
      <c r="E10" s="9">
        <v>1011214.0358211489</v>
      </c>
      <c r="F10" s="14" t="s">
        <v>3</v>
      </c>
      <c r="G10" s="1"/>
    </row>
    <row r="11" spans="1:7" x14ac:dyDescent="0.25">
      <c r="A11" s="1"/>
      <c r="B11" s="150" t="s">
        <v>10</v>
      </c>
      <c r="C11" s="151"/>
      <c r="D11" s="152"/>
      <c r="E11" s="9">
        <f>-E10*'Fane 5. Individuelt eff. krav'!G9</f>
        <v>-2211.4126886580625</v>
      </c>
      <c r="F11" s="14" t="s">
        <v>3</v>
      </c>
      <c r="G11" s="1"/>
    </row>
    <row r="12" spans="1:7" x14ac:dyDescent="0.25">
      <c r="A12" s="1"/>
      <c r="B12" s="150" t="s">
        <v>23</v>
      </c>
      <c r="C12" s="151"/>
      <c r="D12" s="152"/>
      <c r="E12" s="9">
        <f>-E10*'Fane 15. Nøgletal'!C33</f>
        <v>-20224.280716422978</v>
      </c>
      <c r="F12" s="14" t="s">
        <v>3</v>
      </c>
      <c r="G12" s="1"/>
    </row>
    <row r="13" spans="1:7" x14ac:dyDescent="0.25">
      <c r="A13" s="1"/>
      <c r="B13" s="117" t="s">
        <v>111</v>
      </c>
      <c r="C13" s="118"/>
      <c r="D13" s="119"/>
      <c r="E13" s="12">
        <f>SUM(E10:E12)*(1+'Fane 15. Nøgletal'!C16)^2</f>
        <v>1155020.3003879355</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235</v>
      </c>
      <c r="C16" s="142"/>
      <c r="D16" s="143"/>
      <c r="E16" s="9">
        <v>1011214.0358211489</v>
      </c>
      <c r="F16" s="14" t="s">
        <v>3</v>
      </c>
      <c r="G16" s="1"/>
    </row>
    <row r="17" spans="1:7" x14ac:dyDescent="0.25">
      <c r="A17" s="1"/>
      <c r="B17" s="150" t="s">
        <v>10</v>
      </c>
      <c r="C17" s="151"/>
      <c r="D17" s="152"/>
      <c r="E17" s="9">
        <f>-E16*'Fane 5. Individuelt eff. krav'!G9</f>
        <v>-2211.4126886580625</v>
      </c>
      <c r="F17" s="14" t="s">
        <v>3</v>
      </c>
      <c r="G17" s="1"/>
    </row>
    <row r="18" spans="1:7" x14ac:dyDescent="0.25">
      <c r="A18" s="1"/>
      <c r="B18" s="150" t="s">
        <v>23</v>
      </c>
      <c r="C18" s="151"/>
      <c r="D18" s="152"/>
      <c r="E18" s="9">
        <f>-E16*'Fane 15. Nøgletal'!C33</f>
        <v>-20224.280716422978</v>
      </c>
      <c r="F18" s="14" t="s">
        <v>3</v>
      </c>
      <c r="G18" s="1"/>
    </row>
    <row r="19" spans="1:7" x14ac:dyDescent="0.25">
      <c r="A19" s="1"/>
      <c r="B19" s="117" t="s">
        <v>125</v>
      </c>
      <c r="C19" s="118"/>
      <c r="D19" s="119"/>
      <c r="E19" s="12">
        <f>SUM(E16:E18)*(1+'Fane 15. Nøgletal'!C16)^3</f>
        <v>1248345.9406592806</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235</v>
      </c>
      <c r="C22" s="142"/>
      <c r="D22" s="143"/>
      <c r="E22" s="9">
        <v>1011214.0358211489</v>
      </c>
      <c r="F22" s="14" t="s">
        <v>3</v>
      </c>
      <c r="G22" s="1"/>
    </row>
    <row r="23" spans="1:7" x14ac:dyDescent="0.25">
      <c r="A23" s="1"/>
      <c r="B23" s="150" t="s">
        <v>10</v>
      </c>
      <c r="C23" s="151"/>
      <c r="D23" s="152"/>
      <c r="E23" s="9">
        <f>-E22*'Fane 5. Individuelt eff. krav'!G9</f>
        <v>-2211.4126886580625</v>
      </c>
      <c r="F23" s="14" t="s">
        <v>3</v>
      </c>
      <c r="G23" s="1"/>
    </row>
    <row r="24" spans="1:7" x14ac:dyDescent="0.25">
      <c r="A24" s="1"/>
      <c r="B24" s="150" t="s">
        <v>23</v>
      </c>
      <c r="C24" s="151"/>
      <c r="D24" s="152"/>
      <c r="E24" s="9">
        <f>-E22*'Fane 15. Nøgletal'!C33</f>
        <v>-20224.280716422978</v>
      </c>
      <c r="F24" s="14" t="s">
        <v>3</v>
      </c>
      <c r="G24" s="1"/>
    </row>
    <row r="25" spans="1:7" x14ac:dyDescent="0.25">
      <c r="A25" s="1"/>
      <c r="B25" s="117" t="s">
        <v>146</v>
      </c>
      <c r="C25" s="118"/>
      <c r="D25" s="119"/>
      <c r="E25" s="12">
        <f>SUM(E22:E24)*(1+'Fane 15. Nøgletal'!C16)^4</f>
        <v>1349212.2926645505</v>
      </c>
      <c r="F25" s="13" t="s">
        <v>3</v>
      </c>
      <c r="G25" s="1"/>
    </row>
    <row r="26" spans="1:7" x14ac:dyDescent="0.25">
      <c r="A26" s="1"/>
      <c r="B26" s="1"/>
      <c r="C26" s="1"/>
      <c r="D26" s="1"/>
      <c r="E26" s="1"/>
      <c r="F26" s="1"/>
      <c r="G26" s="1"/>
    </row>
    <row r="27" spans="1:7" ht="15" customHeight="1" x14ac:dyDescent="0.25">
      <c r="A27" s="1"/>
      <c r="B27" s="117" t="s">
        <v>236</v>
      </c>
      <c r="C27" s="118"/>
      <c r="D27" s="118"/>
      <c r="E27" s="118"/>
      <c r="F27" s="119"/>
      <c r="G27" s="1"/>
    </row>
    <row r="28" spans="1:7" ht="14.25" customHeight="1" x14ac:dyDescent="0.25">
      <c r="A28" s="1"/>
      <c r="B28" s="141" t="s">
        <v>235</v>
      </c>
      <c r="C28" s="142"/>
      <c r="D28" s="143"/>
      <c r="E28" s="9">
        <v>1011214.0358211489</v>
      </c>
      <c r="F28" s="14" t="s">
        <v>3</v>
      </c>
      <c r="G28" s="1"/>
    </row>
    <row r="29" spans="1:7" x14ac:dyDescent="0.25">
      <c r="A29" s="1"/>
      <c r="B29" s="150" t="s">
        <v>10</v>
      </c>
      <c r="C29" s="151"/>
      <c r="D29" s="152"/>
      <c r="E29" s="9">
        <f>-E28*'Fane 5. Individuelt eff. krav'!G9</f>
        <v>-2211.4126886580625</v>
      </c>
      <c r="F29" s="14" t="s">
        <v>3</v>
      </c>
      <c r="G29" s="1"/>
    </row>
    <row r="30" spans="1:7" x14ac:dyDescent="0.25">
      <c r="A30" s="1"/>
      <c r="B30" s="150" t="s">
        <v>23</v>
      </c>
      <c r="C30" s="151"/>
      <c r="D30" s="152"/>
      <c r="E30" s="9">
        <f>-E28*'Fane 15. Nøgletal'!C33</f>
        <v>-20224.280716422978</v>
      </c>
      <c r="F30" s="14" t="s">
        <v>3</v>
      </c>
      <c r="G30" s="1"/>
    </row>
    <row r="31" spans="1:7" x14ac:dyDescent="0.25">
      <c r="A31" s="1"/>
      <c r="B31" s="117" t="s">
        <v>237</v>
      </c>
      <c r="C31" s="118"/>
      <c r="D31" s="119"/>
      <c r="E31" s="12">
        <f>SUM(E28:E30)*(1+'Fane 15. Nøgletal'!C16)^5</f>
        <v>1458228.6459118463</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YyFnsEHGaZIco428rgiEFcbk4l+IcRGvUhNRPfMV3Azk4FsTc4Gjy8vtO4z46CgeNKXgcA2ahwK4vWBQfwUsQ==" saltValue="bP/XgXFdjBQLRkCcVmp9d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268</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238</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W5dHmwDGi6drE85vv4PeeB3fciOuy3OPXLq3XjwfOuTLgfivSSBUK4W07Xv2bDfNHa6fC4gs/QTU0IljT7ZiHQ==" saltValue="VmmJlcMlGK0sKY4eYOPth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239</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269</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240</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1ZP5UVURSv+M4cLt7FmFY/sBHpDcSMHWv3FHu0lCGI9OAttVxw2ft4dXKxVmeF2WESEec/CHGD6Ffz1iyj3tA==" saltValue="t+wWowkfhcUo3h62CCJxi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255415478.62189379</v>
      </c>
      <c r="D9" s="8" t="s">
        <v>3</v>
      </c>
      <c r="E9" s="1"/>
    </row>
    <row r="10" spans="1:5" ht="17.25" customHeight="1" x14ac:dyDescent="0.25">
      <c r="A10" s="1"/>
      <c r="B10" s="88" t="s">
        <v>36</v>
      </c>
      <c r="C10" s="7">
        <f>'Fane 11.1. Varige tillæg'!C20</f>
        <v>2240539.4704</v>
      </c>
      <c r="D10" s="8" t="s">
        <v>3</v>
      </c>
      <c r="E10" s="1"/>
    </row>
    <row r="11" spans="1:5" ht="17.25" customHeight="1" x14ac:dyDescent="0.25">
      <c r="A11" s="1"/>
      <c r="B11" s="88" t="s">
        <v>37</v>
      </c>
      <c r="C11" s="9">
        <f>'Fane 11.1. Varige tillæg'!E20</f>
        <v>4779522.4063999997</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21204791.67229446</v>
      </c>
      <c r="D16" s="8" t="s">
        <v>3</v>
      </c>
      <c r="E16" s="1"/>
    </row>
    <row r="17" spans="1:5" ht="17.25" customHeight="1" x14ac:dyDescent="0.25">
      <c r="A17" s="1"/>
      <c r="B17" s="88" t="s">
        <v>10</v>
      </c>
      <c r="C17" s="41">
        <f>-SUM(C9,C10:C16)*'Fane 5. Individuelt eff. krav'!G9</f>
        <v>-620289.87668150861</v>
      </c>
      <c r="D17" s="8" t="s">
        <v>3</v>
      </c>
      <c r="E17" s="1"/>
    </row>
    <row r="18" spans="1:5" ht="17.25" customHeight="1" x14ac:dyDescent="0.25">
      <c r="A18" s="1"/>
      <c r="B18" s="88" t="s">
        <v>23</v>
      </c>
      <c r="C18" s="41">
        <f>-'Fane 4.1. Gen. krav - drift'!G54</f>
        <v>-2017758.2709249388</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281002284.02338183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7453851.2682286007</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1155020.3003879355</v>
      </c>
      <c r="D24" s="11" t="s">
        <v>3</v>
      </c>
      <c r="E24" s="1"/>
    </row>
    <row r="25" spans="1:5" ht="15" customHeight="1" x14ac:dyDescent="0.25">
      <c r="A25" s="1"/>
      <c r="B25" s="44" t="s">
        <v>73</v>
      </c>
      <c r="C25" s="42"/>
      <c r="D25" s="43"/>
      <c r="E25" s="1"/>
    </row>
    <row r="26" spans="1:5" ht="15" customHeight="1" x14ac:dyDescent="0.25">
      <c r="A26" s="1"/>
      <c r="B26" s="88" t="s">
        <v>158</v>
      </c>
      <c r="C26" s="66">
        <f>'Fane 11.2. Engangstillæg'!C15</f>
        <v>2944304.4491078397</v>
      </c>
      <c r="D26" s="8" t="s">
        <v>3</v>
      </c>
      <c r="E26" s="1"/>
    </row>
    <row r="27" spans="1:5" ht="15" customHeight="1" x14ac:dyDescent="0.25">
      <c r="A27" s="1"/>
      <c r="B27" s="88" t="s">
        <v>70</v>
      </c>
      <c r="C27" s="66">
        <f>'Fane 11.2. Engangstillæg'!E15</f>
        <v>262828.94399999996</v>
      </c>
      <c r="D27" s="8" t="s">
        <v>3</v>
      </c>
      <c r="E27" s="1"/>
    </row>
    <row r="28" spans="1:5" ht="15" customHeight="1" x14ac:dyDescent="0.25">
      <c r="A28" s="1"/>
      <c r="B28" s="88" t="s">
        <v>161</v>
      </c>
      <c r="C28" s="66">
        <f>-C26*('Fane 15. Nøgletal'!C33+'Fane 5. Individuelt eff. krav'!G9)</f>
        <v>-65324.955520181255</v>
      </c>
      <c r="D28" s="8" t="s">
        <v>3</v>
      </c>
      <c r="E28" s="1"/>
    </row>
    <row r="29" spans="1:5" ht="15" customHeight="1" x14ac:dyDescent="0.25">
      <c r="A29" s="1"/>
      <c r="B29" s="88" t="s">
        <v>162</v>
      </c>
      <c r="C29" s="66">
        <f>-C27*('Fane 15. Nøgletal'!C28+'Fane 5. Individuelt eff. krav'!G9)</f>
        <v>-574.77768416873403</v>
      </c>
      <c r="D29" s="8" t="s">
        <v>3</v>
      </c>
      <c r="E29" s="1"/>
    </row>
    <row r="30" spans="1:5" ht="15" customHeight="1" x14ac:dyDescent="0.25">
      <c r="A30" s="1"/>
      <c r="B30" s="70" t="s">
        <v>75</v>
      </c>
      <c r="C30" s="10">
        <f>SUM(C26:C29)</f>
        <v>3141233.6599034895</v>
      </c>
      <c r="D30" s="11" t="s">
        <v>3</v>
      </c>
      <c r="E30" s="1"/>
    </row>
    <row r="31" spans="1:5" x14ac:dyDescent="0.25">
      <c r="A31" s="1"/>
      <c r="B31" s="33" t="s">
        <v>116</v>
      </c>
      <c r="C31" s="28"/>
      <c r="D31" s="19"/>
      <c r="E31" s="1"/>
    </row>
    <row r="32" spans="1:5" x14ac:dyDescent="0.25">
      <c r="A32" s="1"/>
      <c r="B32" s="31" t="s">
        <v>138</v>
      </c>
      <c r="C32" s="10">
        <f>'Fane 7. Kontrol af ØR2022'!E31</f>
        <v>-5673058.5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287079330.75190187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HimxTQQCNwH0IUVMl7MvA4XpfCi3u8/OaGkd77x+ZKze6Z8HHoSYM1zVSWEwP6YhipYvnNTWZ59rulLoIN1Sw==" saltValue="flNA0BqbvGzUt2cqun/GS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9">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8">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qR94tPr7Rf0Dj/L3tmKHJ6fElgMnDGyQ3IXGb/keKEaHnFzg2KcSBIBNP1KaGhgnVUsNtG0w6rPghw+1Gju81g==" saltValue="QgLTNftLBIWdlVkZyijcG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281002284.02338183</v>
      </c>
      <c r="D9" s="8" t="s">
        <v>3</v>
      </c>
      <c r="E9" s="1"/>
    </row>
    <row r="10" spans="1:5" ht="15" customHeight="1" x14ac:dyDescent="0.25">
      <c r="A10" s="1"/>
      <c r="B10" s="26" t="s">
        <v>19</v>
      </c>
      <c r="C10" s="7">
        <f>SUM(C9:C9)*'Fane 15. Nøgletal'!C16</f>
        <v>22704984.549089249</v>
      </c>
      <c r="D10" s="8" t="s">
        <v>3</v>
      </c>
      <c r="E10" s="1"/>
    </row>
    <row r="11" spans="1:5" ht="15" customHeight="1" x14ac:dyDescent="0.25">
      <c r="A11" s="1"/>
      <c r="B11" s="26" t="s">
        <v>10</v>
      </c>
      <c r="C11" s="9">
        <f>-SUM(C9:C10)*'Fane 5. Individuelt eff. krav'!G9</f>
        <v>-664174.03592846566</v>
      </c>
      <c r="D11" s="8" t="s">
        <v>3</v>
      </c>
      <c r="E11" s="1"/>
    </row>
    <row r="12" spans="1:5" ht="15" customHeight="1" x14ac:dyDescent="0.25">
      <c r="A12" s="1"/>
      <c r="B12" s="26" t="s">
        <v>23</v>
      </c>
      <c r="C12" s="9">
        <f>-'Fane 4.1. Gen. krav - drift'!G59</f>
        <v>-2137177.2764313607</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300905917.26011121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8056122.4507014714</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1248345.9406592806</v>
      </c>
      <c r="D18" s="11" t="s">
        <v>3</v>
      </c>
      <c r="E18" s="1"/>
    </row>
    <row r="19" spans="1:5" x14ac:dyDescent="0.25">
      <c r="A19" s="1"/>
      <c r="B19" s="33" t="s">
        <v>116</v>
      </c>
      <c r="C19" s="28"/>
      <c r="D19" s="19"/>
      <c r="E19" s="1"/>
    </row>
    <row r="20" spans="1:5" ht="15" customHeight="1" x14ac:dyDescent="0.25">
      <c r="A20" s="1"/>
      <c r="B20" s="31" t="s">
        <v>138</v>
      </c>
      <c r="C20" s="10">
        <f>'Fane 7. Kontrol af ØR2022'!E31</f>
        <v>-5673058.5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304537327.15147197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EfzD2qdLWw0V2DedskOWi1rVzjx/bwJdZ2jn17za45Nb8hCbBmAyRtCn0JEFMN5cNH8W69gb84JjWT4q3xNiA==" saltValue="sDW9rwka+TLB762p8YZtc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252</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300905917.26011121</v>
      </c>
      <c r="D9" s="8" t="s">
        <v>3</v>
      </c>
      <c r="E9" s="1"/>
    </row>
    <row r="10" spans="1:5" ht="15" customHeight="1" x14ac:dyDescent="0.25">
      <c r="A10" s="1"/>
      <c r="B10" s="26" t="s">
        <v>19</v>
      </c>
      <c r="C10" s="7">
        <f>SUM(C9:C9)*'Fane 15. Nøgletal'!C16</f>
        <v>24313198.114616986</v>
      </c>
      <c r="D10" s="8" t="s">
        <v>3</v>
      </c>
      <c r="E10" s="1"/>
    </row>
    <row r="11" spans="1:5" ht="15" customHeight="1" x14ac:dyDescent="0.25">
      <c r="A11" s="1"/>
      <c r="B11" s="26" t="s">
        <v>10</v>
      </c>
      <c r="C11" s="9">
        <f>-SUM(C9:C10)*'Fane 5. Individuelt eff. krav'!G9</f>
        <v>-711218.05360406055</v>
      </c>
      <c r="D11" s="8" t="s">
        <v>3</v>
      </c>
      <c r="E11" s="1"/>
    </row>
    <row r="12" spans="1:5" ht="15" customHeight="1" x14ac:dyDescent="0.25">
      <c r="A12" s="1"/>
      <c r="B12" s="26" t="s">
        <v>23</v>
      </c>
      <c r="C12" s="9">
        <f>-'Fane 4.1. Gen. krav - drift'!G64</f>
        <v>-2263663.9763596742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322244233.34476447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8707057.1447181497</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1349212.2926645505</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332300502.78214717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9sOn/AzOjVnYUl4REpbHwSuGnipV/QKPxnBWa2kG7T278l84mcthGD7ho58zCzFN8EFjNnOU51rJwiB6acBkA==" saltValue="yfwfrgG0lnAGEq7MD4iuG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252</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322244233.34476447</v>
      </c>
      <c r="D9" s="8" t="s">
        <v>3</v>
      </c>
      <c r="E9" s="1"/>
      <c r="F9" s="1"/>
    </row>
    <row r="10" spans="1:6" ht="15" customHeight="1" x14ac:dyDescent="0.25">
      <c r="A10" s="1"/>
      <c r="B10" s="26" t="s">
        <v>19</v>
      </c>
      <c r="C10" s="7">
        <f>SUM(C9:C9)*'Fane 15. Nøgletal'!C16</f>
        <v>26037334.054256968</v>
      </c>
      <c r="D10" s="8" t="s">
        <v>3</v>
      </c>
      <c r="E10" s="1"/>
      <c r="F10" s="1"/>
    </row>
    <row r="11" spans="1:6" ht="15" customHeight="1" x14ac:dyDescent="0.25">
      <c r="A11" s="1"/>
      <c r="B11" s="26" t="s">
        <v>10</v>
      </c>
      <c r="C11" s="9">
        <f>-SUM(C9:C10)*'Fane 5. Individuelt eff. krav'!G9</f>
        <v>-761653.07253323833</v>
      </c>
      <c r="D11" s="8" t="s">
        <v>3</v>
      </c>
      <c r="E11" s="1"/>
      <c r="F11" s="1"/>
    </row>
    <row r="12" spans="1:6" ht="15" customHeight="1" x14ac:dyDescent="0.25">
      <c r="A12" s="1"/>
      <c r="B12" s="26" t="s">
        <v>23</v>
      </c>
      <c r="C12" s="9">
        <f>-'Fane 4.1. Gen. krav - drift'!G69</f>
        <v>-2397636.665136545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345122277.66135168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9410587.3620113768</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1458228.6459118463</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355991093.66927493</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yG77MbdGAIVlxuoILP1/kS3TN94bz/22CnWI5WUwoNOR3ZC7g4GAlQEtMLVWxYzfIBAHj9eKTk12MvGp7uDSsA==" saltValue="MIfPRcDB5Z/IgJ/WAgZpb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253</v>
      </c>
      <c r="C8" s="28"/>
      <c r="D8" s="19"/>
      <c r="E8" s="1"/>
    </row>
    <row r="9" spans="1:5" x14ac:dyDescent="0.25">
      <c r="A9" s="1"/>
      <c r="B9" s="29" t="s">
        <v>254</v>
      </c>
      <c r="C9" s="7">
        <v>255567560.00906804</v>
      </c>
      <c r="D9" s="8" t="s">
        <v>3</v>
      </c>
      <c r="E9" s="1"/>
    </row>
    <row r="10" spans="1:5" x14ac:dyDescent="0.25">
      <c r="A10" s="1"/>
      <c r="B10" s="88" t="s">
        <v>36</v>
      </c>
      <c r="C10" s="7">
        <v>239571.56160000002</v>
      </c>
      <c r="D10" s="8" t="s">
        <v>3</v>
      </c>
      <c r="E10" s="1"/>
    </row>
    <row r="11" spans="1:5" x14ac:dyDescent="0.25">
      <c r="A11" s="1"/>
      <c r="B11" s="88" t="s">
        <v>37</v>
      </c>
      <c r="C11" s="9">
        <v>5641114.1064000009</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1052725.3578107245</v>
      </c>
      <c r="D16" s="8" t="s">
        <v>3</v>
      </c>
      <c r="E16" s="1"/>
    </row>
    <row r="17" spans="1:5" x14ac:dyDescent="0.25">
      <c r="A17" s="1"/>
      <c r="B17" s="88" t="s">
        <v>10</v>
      </c>
      <c r="C17" s="41">
        <v>-2665331.8134478685</v>
      </c>
      <c r="D17" s="8" t="s">
        <v>3</v>
      </c>
      <c r="E17" s="1"/>
    </row>
    <row r="18" spans="1:5" x14ac:dyDescent="0.25">
      <c r="A18" s="1"/>
      <c r="B18" s="88" t="s">
        <v>23</v>
      </c>
      <c r="C18" s="41">
        <v>-1859286.7431275137</v>
      </c>
      <c r="D18" s="8" t="s">
        <v>3</v>
      </c>
      <c r="E18" s="1"/>
    </row>
    <row r="19" spans="1:5" x14ac:dyDescent="0.25">
      <c r="A19" s="1"/>
      <c r="B19" s="88" t="s">
        <v>24</v>
      </c>
      <c r="C19" s="41">
        <v>-2560873.8564096089</v>
      </c>
      <c r="D19" s="8" t="s">
        <v>3</v>
      </c>
      <c r="E19" s="47"/>
    </row>
    <row r="20" spans="1:5" x14ac:dyDescent="0.25">
      <c r="A20" s="1"/>
      <c r="B20" s="82" t="s">
        <v>21</v>
      </c>
      <c r="C20" s="10">
        <v>255415478.62189379</v>
      </c>
      <c r="D20" s="11" t="s">
        <v>3</v>
      </c>
      <c r="E20" s="1"/>
    </row>
    <row r="21" spans="1:5" x14ac:dyDescent="0.25">
      <c r="A21" s="1"/>
      <c r="B21" s="33" t="s">
        <v>12</v>
      </c>
      <c r="C21" s="28"/>
      <c r="D21" s="19"/>
      <c r="E21" s="1"/>
    </row>
    <row r="22" spans="1:5" x14ac:dyDescent="0.25">
      <c r="A22" s="1"/>
      <c r="B22" s="31" t="s">
        <v>12</v>
      </c>
      <c r="C22" s="10">
        <v>7703261.7877106359</v>
      </c>
      <c r="D22" s="11" t="s">
        <v>3</v>
      </c>
      <c r="E22" s="1"/>
    </row>
    <row r="23" spans="1:5" x14ac:dyDescent="0.25">
      <c r="A23" s="1"/>
      <c r="B23" s="33" t="s">
        <v>74</v>
      </c>
      <c r="C23" s="28"/>
      <c r="D23" s="19"/>
      <c r="E23" s="1"/>
    </row>
    <row r="24" spans="1:5" x14ac:dyDescent="0.25">
      <c r="A24" s="1"/>
      <c r="B24" s="82" t="s">
        <v>74</v>
      </c>
      <c r="C24" s="10">
        <v>1048333.1402492665</v>
      </c>
      <c r="D24" s="11" t="s">
        <v>3</v>
      </c>
      <c r="E24" s="1"/>
    </row>
    <row r="25" spans="1:5" x14ac:dyDescent="0.25">
      <c r="A25" s="1"/>
      <c r="B25" s="44" t="s">
        <v>73</v>
      </c>
      <c r="C25" s="42"/>
      <c r="D25" s="43"/>
      <c r="E25" s="1"/>
    </row>
    <row r="26" spans="1:5" x14ac:dyDescent="0.25">
      <c r="A26" s="1"/>
      <c r="B26" s="88" t="s">
        <v>158</v>
      </c>
      <c r="C26" s="66">
        <v>659054.78700192005</v>
      </c>
      <c r="D26" s="8" t="s">
        <v>3</v>
      </c>
      <c r="E26" s="1"/>
    </row>
    <row r="27" spans="1:5" x14ac:dyDescent="0.25">
      <c r="A27" s="1"/>
      <c r="B27" s="88" t="s">
        <v>70</v>
      </c>
      <c r="C27" s="66">
        <v>190745.82724752001</v>
      </c>
      <c r="D27" s="8" t="s">
        <v>3</v>
      </c>
      <c r="E27" s="1"/>
    </row>
    <row r="28" spans="1:5" x14ac:dyDescent="0.25">
      <c r="A28" s="1"/>
      <c r="B28" s="88" t="s">
        <v>161</v>
      </c>
      <c r="C28" s="66">
        <v>-19872.879331071003</v>
      </c>
      <c r="D28" s="8" t="s">
        <v>3</v>
      </c>
      <c r="E28" s="1"/>
    </row>
    <row r="29" spans="1:5" x14ac:dyDescent="0.25">
      <c r="A29" s="1"/>
      <c r="B29" s="88" t="s">
        <v>162</v>
      </c>
      <c r="C29" s="66">
        <v>-1936.7582513730761</v>
      </c>
      <c r="D29" s="8" t="s">
        <v>3</v>
      </c>
      <c r="E29" s="1"/>
    </row>
    <row r="30" spans="1:5" x14ac:dyDescent="0.25">
      <c r="A30" s="1"/>
      <c r="B30" s="70" t="s">
        <v>75</v>
      </c>
      <c r="C30" s="10">
        <v>827990.97666699591</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265</v>
      </c>
      <c r="C33" s="28"/>
      <c r="D33" s="19"/>
      <c r="E33" s="1"/>
    </row>
    <row r="34" spans="1:5" x14ac:dyDescent="0.25">
      <c r="A34" s="1"/>
      <c r="B34" s="31" t="s">
        <v>265</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266</v>
      </c>
      <c r="C37" s="49">
        <v>264995064.5265207</v>
      </c>
      <c r="D37" s="30" t="s">
        <v>3</v>
      </c>
      <c r="E37" s="1"/>
    </row>
    <row r="38" spans="1:5" ht="30" customHeight="1" x14ac:dyDescent="0.25">
      <c r="A38" s="1"/>
      <c r="B38" s="112" t="s">
        <v>267</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kL5wXLY5wg88mcx1r96bj9Zbt9dejU8oc/siT/42lGXK7aybK2wGnKbNEARLV4hHeeA/JnykP0fh7QQKmZneQ==" saltValue="1Q+a/dcxI3oqN+1ygwZqR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23">
        <v>91224526</v>
      </c>
      <c r="H5" s="14" t="s">
        <v>3</v>
      </c>
      <c r="I5" s="1"/>
    </row>
    <row r="6" spans="1:9" x14ac:dyDescent="0.25">
      <c r="A6" s="1"/>
      <c r="B6" s="114" t="s">
        <v>102</v>
      </c>
      <c r="C6" s="115"/>
      <c r="D6" s="115"/>
      <c r="E6" s="115"/>
      <c r="F6" s="116"/>
      <c r="G6" s="9">
        <v>0</v>
      </c>
      <c r="H6" s="14" t="s">
        <v>3</v>
      </c>
      <c r="I6" s="1"/>
    </row>
    <row r="7" spans="1:9" x14ac:dyDescent="0.25">
      <c r="A7" s="1"/>
      <c r="B7" s="120" t="s">
        <v>39</v>
      </c>
      <c r="C7" s="121"/>
      <c r="D7" s="121"/>
      <c r="E7" s="121"/>
      <c r="F7" s="122"/>
      <c r="G7" s="23">
        <f>SUM(G5:G6)*'Fane 15. Nøgletal'!C33</f>
        <v>1824490.52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90964536.100900009</v>
      </c>
      <c r="H11" s="14" t="s">
        <v>3</v>
      </c>
      <c r="I11" s="1"/>
    </row>
    <row r="12" spans="1:9" ht="15" customHeight="1" x14ac:dyDescent="0.25">
      <c r="A12" s="1"/>
      <c r="B12" s="120" t="s">
        <v>103</v>
      </c>
      <c r="C12" s="121"/>
      <c r="D12" s="121"/>
      <c r="E12" s="121"/>
      <c r="F12" s="122"/>
      <c r="G12" s="9">
        <v>-960275</v>
      </c>
      <c r="H12" s="14" t="s">
        <v>3</v>
      </c>
      <c r="I12" s="1"/>
    </row>
    <row r="13" spans="1:9" x14ac:dyDescent="0.25">
      <c r="A13" s="1"/>
      <c r="B13" s="114" t="s">
        <v>100</v>
      </c>
      <c r="C13" s="115"/>
      <c r="D13" s="115"/>
      <c r="E13" s="115"/>
      <c r="F13" s="116"/>
      <c r="G13" s="9">
        <v>960273.76500000001</v>
      </c>
      <c r="H13" s="14" t="s">
        <v>3</v>
      </c>
      <c r="I13" s="1"/>
    </row>
    <row r="14" spans="1:9" x14ac:dyDescent="0.25">
      <c r="A14" s="1"/>
      <c r="B14" s="123" t="s">
        <v>243</v>
      </c>
      <c r="C14" s="124"/>
      <c r="D14" s="124"/>
      <c r="E14" s="124"/>
      <c r="F14" s="125"/>
      <c r="G14" s="9">
        <v>0</v>
      </c>
      <c r="H14" s="14" t="s">
        <v>3</v>
      </c>
      <c r="I14" s="1"/>
    </row>
    <row r="15" spans="1:9" x14ac:dyDescent="0.25">
      <c r="A15" s="1"/>
      <c r="B15" s="120" t="s">
        <v>41</v>
      </c>
      <c r="C15" s="121"/>
      <c r="D15" s="121"/>
      <c r="E15" s="121"/>
      <c r="F15" s="122"/>
      <c r="G15" s="23">
        <f>SUM(G11:G14)*'Fane 15. Nøgletal'!C33</f>
        <v>1819290.6973180003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89728207.385644704</v>
      </c>
      <c r="H19" s="14" t="s">
        <v>3</v>
      </c>
      <c r="I19" s="1"/>
    </row>
    <row r="20" spans="1:9" x14ac:dyDescent="0.25">
      <c r="A20" s="1"/>
      <c r="B20" s="123" t="s">
        <v>244</v>
      </c>
      <c r="C20" s="124"/>
      <c r="D20" s="124"/>
      <c r="E20" s="124"/>
      <c r="F20" s="125"/>
      <c r="G20" s="9">
        <v>146329.31832865998</v>
      </c>
      <c r="H20" s="14" t="s">
        <v>3</v>
      </c>
      <c r="I20" s="1"/>
    </row>
    <row r="21" spans="1:9" x14ac:dyDescent="0.25">
      <c r="A21" s="1"/>
      <c r="B21" s="120" t="s">
        <v>43</v>
      </c>
      <c r="C21" s="121"/>
      <c r="D21" s="121"/>
      <c r="E21" s="121"/>
      <c r="F21" s="122"/>
      <c r="G21" s="23">
        <f>SUM(G19:G20)*'Fane 15. Nøgletal'!C33</f>
        <v>1797490.7340794674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89812163.775500819</v>
      </c>
      <c r="H25" s="14" t="s">
        <v>3</v>
      </c>
      <c r="I25" s="1"/>
    </row>
    <row r="26" spans="1:9" x14ac:dyDescent="0.25">
      <c r="A26" s="1"/>
      <c r="B26" s="123" t="s">
        <v>245</v>
      </c>
      <c r="C26" s="124"/>
      <c r="D26" s="124"/>
      <c r="E26" s="124"/>
      <c r="F26" s="125"/>
      <c r="G26" s="9">
        <v>4230268.6664155507</v>
      </c>
      <c r="H26" s="14" t="s">
        <v>3</v>
      </c>
      <c r="I26" s="1"/>
    </row>
    <row r="27" spans="1:9" x14ac:dyDescent="0.25">
      <c r="A27" s="1"/>
      <c r="B27" s="120" t="s">
        <v>45</v>
      </c>
      <c r="C27" s="121"/>
      <c r="D27" s="121"/>
      <c r="E27" s="121"/>
      <c r="F27" s="122"/>
      <c r="G27" s="23">
        <f>(G25+G26)*'Fane 15. Nøgletal'!C33</f>
        <v>1880848.6488383275</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93977166.993801698</v>
      </c>
      <c r="H31" s="14" t="s">
        <v>3</v>
      </c>
      <c r="I31" s="1"/>
    </row>
    <row r="32" spans="1:9" x14ac:dyDescent="0.25">
      <c r="A32" s="1"/>
      <c r="B32" s="120" t="s">
        <v>242</v>
      </c>
      <c r="C32" s="121"/>
      <c r="D32" s="121"/>
      <c r="E32" s="121"/>
      <c r="F32" s="122"/>
      <c r="G32" s="23">
        <v>1068098.3129930401</v>
      </c>
      <c r="H32" s="14" t="s">
        <v>3</v>
      </c>
      <c r="I32" s="1"/>
    </row>
    <row r="33" spans="1:9" x14ac:dyDescent="0.25">
      <c r="A33" s="1"/>
      <c r="B33" s="120" t="s">
        <v>54</v>
      </c>
      <c r="C33" s="121"/>
      <c r="D33" s="121"/>
      <c r="E33" s="121"/>
      <c r="F33" s="122"/>
      <c r="G33" s="23">
        <f>(G31+G32)*'Fane 15. Nøgletal'!C33</f>
        <v>1900905.3061358947</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93451736.388661027</v>
      </c>
      <c r="H37" s="14" t="s">
        <v>3</v>
      </c>
      <c r="I37" s="1"/>
    </row>
    <row r="38" spans="1:9" x14ac:dyDescent="0.25">
      <c r="A38" s="1"/>
      <c r="B38" s="120" t="s">
        <v>241</v>
      </c>
      <c r="C38" s="121"/>
      <c r="D38" s="121"/>
      <c r="E38" s="121"/>
      <c r="F38" s="122"/>
      <c r="G38" s="23">
        <v>845487.71789215016</v>
      </c>
      <c r="H38" s="14" t="s">
        <v>3</v>
      </c>
      <c r="I38" s="1"/>
    </row>
    <row r="39" spans="1:9" x14ac:dyDescent="0.25">
      <c r="A39" s="1"/>
      <c r="B39" s="120" t="s">
        <v>128</v>
      </c>
      <c r="C39" s="121"/>
      <c r="D39" s="121"/>
      <c r="E39" s="121"/>
      <c r="F39" s="122"/>
      <c r="G39" s="23">
        <f>(G37+G38)*'Fane 15. Nøgletal'!C33</f>
        <v>1885944.4821310637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92716236.847182721</v>
      </c>
      <c r="H43" s="14" t="s">
        <v>3</v>
      </c>
      <c r="I43" s="1"/>
    </row>
    <row r="44" spans="1:9" x14ac:dyDescent="0.25">
      <c r="A44" s="1"/>
      <c r="B44" s="126" t="s">
        <v>157</v>
      </c>
      <c r="C44" s="127"/>
      <c r="D44" s="127"/>
      <c r="E44" s="127"/>
      <c r="F44" s="128"/>
      <c r="G44" s="45">
        <v>248100.30919296003</v>
      </c>
      <c r="H44" s="14" t="s">
        <v>3</v>
      </c>
      <c r="I44" s="1"/>
    </row>
    <row r="45" spans="1:9" x14ac:dyDescent="0.25">
      <c r="A45" s="1"/>
      <c r="B45" s="120" t="s">
        <v>129</v>
      </c>
      <c r="C45" s="121"/>
      <c r="D45" s="121"/>
      <c r="E45" s="121"/>
      <c r="F45" s="122"/>
      <c r="G45" s="23">
        <f>SUM(G43:G44)*'Fane 15. Nøgletal'!C33</f>
        <v>1859286.7431275137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98466338.48663862</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2421575.0596083198</v>
      </c>
      <c r="H53" s="14" t="s">
        <v>3</v>
      </c>
      <c r="I53" s="1"/>
    </row>
    <row r="54" spans="1:9" x14ac:dyDescent="0.25">
      <c r="A54" s="1"/>
      <c r="B54" s="120" t="s">
        <v>210</v>
      </c>
      <c r="C54" s="121"/>
      <c r="D54" s="121"/>
      <c r="E54" s="121"/>
      <c r="F54" s="122"/>
      <c r="G54" s="23">
        <f>(G52)*'Fane 15. Nøgletal'!C33+(G53)*'Fane 15. Nøgletal'!C33</f>
        <v>2017758.2709249388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106858863.82156803</v>
      </c>
      <c r="H58" s="14" t="s">
        <v>3</v>
      </c>
      <c r="I58" s="1"/>
    </row>
    <row r="59" spans="1:9" x14ac:dyDescent="0.25">
      <c r="A59" s="1"/>
      <c r="B59" s="78" t="s">
        <v>211</v>
      </c>
      <c r="C59" s="79"/>
      <c r="D59" s="79"/>
      <c r="E59" s="79"/>
      <c r="F59" s="80"/>
      <c r="G59" s="23">
        <f>(G58)*'Fane 15. Nøgletal'!C33</f>
        <v>2137177.2764313607</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255</v>
      </c>
      <c r="C62" s="118"/>
      <c r="D62" s="118"/>
      <c r="E62" s="118"/>
      <c r="F62" s="118"/>
      <c r="G62" s="118"/>
      <c r="H62" s="119"/>
      <c r="I62" s="1"/>
    </row>
    <row r="63" spans="1:9" x14ac:dyDescent="0.25">
      <c r="A63" s="1"/>
      <c r="B63" s="78" t="s">
        <v>213</v>
      </c>
      <c r="C63" s="79"/>
      <c r="D63" s="79"/>
      <c r="E63" s="79"/>
      <c r="F63" s="80"/>
      <c r="G63" s="23">
        <f>(G58-G59)*(1+'Fane 15. Nøgletal'!C16)</f>
        <v>113183198.8179837</v>
      </c>
      <c r="H63" s="14" t="s">
        <v>3</v>
      </c>
      <c r="I63" s="1"/>
    </row>
    <row r="64" spans="1:9" x14ac:dyDescent="0.25">
      <c r="A64" s="1"/>
      <c r="B64" s="78" t="s">
        <v>214</v>
      </c>
      <c r="C64" s="79"/>
      <c r="D64" s="79"/>
      <c r="E64" s="79"/>
      <c r="F64" s="80"/>
      <c r="G64" s="23">
        <f>(G63)*'Fane 15. Nøgletal'!C33</f>
        <v>2263663.9763596742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256</v>
      </c>
      <c r="C67" s="118"/>
      <c r="D67" s="118"/>
      <c r="E67" s="118"/>
      <c r="F67" s="118"/>
      <c r="G67" s="118"/>
      <c r="H67" s="119"/>
      <c r="I67" s="1"/>
    </row>
    <row r="68" spans="1:9" x14ac:dyDescent="0.25">
      <c r="A68" s="1"/>
      <c r="B68" s="78" t="s">
        <v>213</v>
      </c>
      <c r="C68" s="79"/>
      <c r="D68" s="79"/>
      <c r="E68" s="79"/>
      <c r="F68" s="80"/>
      <c r="G68" s="23">
        <f>(G63-G64)*(1+'Fane 15. Nøgletal'!C16)</f>
        <v>119881833.25682724</v>
      </c>
      <c r="H68" s="14" t="s">
        <v>3</v>
      </c>
      <c r="I68" s="1"/>
    </row>
    <row r="69" spans="1:9" x14ac:dyDescent="0.25">
      <c r="A69" s="1"/>
      <c r="B69" s="78" t="s">
        <v>214</v>
      </c>
      <c r="C69" s="79"/>
      <c r="D69" s="79"/>
      <c r="E69" s="79"/>
      <c r="F69" s="80"/>
      <c r="G69" s="23">
        <f>(G68)*'Fane 15. Nøgletal'!C33</f>
        <v>2397636.665136545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X1mcwoHu9iJsyAGCut+rk1t6Jx8441AfmDXby5Ek571CgdGXexxLHDJ3dEJOCONZEVL8b8C6ckf3Fsw1Kq1elA==" saltValue="R9Wuyybf0F+yJgSN/JxBz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23">
        <f>55256914+98529430</f>
        <v>153786344</v>
      </c>
      <c r="H5" s="14" t="s">
        <v>3</v>
      </c>
      <c r="I5" s="1"/>
    </row>
    <row r="6" spans="1:9" x14ac:dyDescent="0.25">
      <c r="A6" s="1"/>
      <c r="B6" s="120" t="s">
        <v>51</v>
      </c>
      <c r="C6" s="121"/>
      <c r="D6" s="121"/>
      <c r="E6" s="121"/>
      <c r="F6" s="122"/>
      <c r="G6" s="23">
        <f>G5*'Fane 15. Nøgletal'!C21</f>
        <v>1399455.7304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155053658.814318</v>
      </c>
      <c r="H10" s="14" t="s">
        <v>3</v>
      </c>
      <c r="I10" s="1"/>
    </row>
    <row r="11" spans="1:9" x14ac:dyDescent="0.25">
      <c r="A11" s="1"/>
      <c r="B11" s="120" t="s">
        <v>104</v>
      </c>
      <c r="C11" s="121"/>
      <c r="D11" s="121"/>
      <c r="E11" s="121"/>
      <c r="F11" s="122"/>
      <c r="G11" s="63">
        <v>-839590</v>
      </c>
      <c r="H11" s="14" t="s">
        <v>3</v>
      </c>
      <c r="I11" s="1"/>
    </row>
    <row r="12" spans="1:9" x14ac:dyDescent="0.25">
      <c r="A12" s="1"/>
      <c r="B12" s="123" t="s">
        <v>246</v>
      </c>
      <c r="C12" s="124"/>
      <c r="D12" s="124"/>
      <c r="E12" s="124"/>
      <c r="F12" s="125"/>
      <c r="G12" s="67">
        <v>0</v>
      </c>
      <c r="H12" s="14" t="s">
        <v>3</v>
      </c>
      <c r="I12" s="1"/>
    </row>
    <row r="13" spans="1:9" x14ac:dyDescent="0.25">
      <c r="A13" s="1"/>
      <c r="B13" s="120" t="s">
        <v>58</v>
      </c>
      <c r="C13" s="121"/>
      <c r="D13" s="121"/>
      <c r="E13" s="121"/>
      <c r="F13" s="122"/>
      <c r="G13" s="23">
        <f>SUM(G10:G12)*'Fane 15. Nøgletal'!C22</f>
        <v>2729589.0180134289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154135458.19273993</v>
      </c>
      <c r="H17" s="14" t="s">
        <v>3</v>
      </c>
      <c r="I17" s="1"/>
    </row>
    <row r="18" spans="1:9" x14ac:dyDescent="0.25">
      <c r="A18" s="1"/>
      <c r="B18" s="123" t="s">
        <v>247</v>
      </c>
      <c r="C18" s="124"/>
      <c r="D18" s="124"/>
      <c r="E18" s="124"/>
      <c r="F18" s="125"/>
      <c r="G18" s="23">
        <v>3323768.3085180991</v>
      </c>
      <c r="H18" s="14" t="s">
        <v>3</v>
      </c>
      <c r="I18" s="1"/>
    </row>
    <row r="19" spans="1:9" x14ac:dyDescent="0.25">
      <c r="A19" s="1"/>
      <c r="B19" s="120" t="s">
        <v>61</v>
      </c>
      <c r="C19" s="121"/>
      <c r="D19" s="121"/>
      <c r="E19" s="121"/>
      <c r="F19" s="122"/>
      <c r="G19" s="23">
        <f>G17*'Fane 15. Nøgletal'!C22+G18*'Fane 15. Nøgletal'!C23</f>
        <v>2757114.3942956044</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157749743.7154696</v>
      </c>
      <c r="H23" s="14" t="s">
        <v>3</v>
      </c>
      <c r="I23" s="1"/>
    </row>
    <row r="24" spans="1:9" x14ac:dyDescent="0.25">
      <c r="A24" s="1"/>
      <c r="B24" s="123" t="s">
        <v>248</v>
      </c>
      <c r="C24" s="124"/>
      <c r="D24" s="124"/>
      <c r="E24" s="124"/>
      <c r="F24" s="125"/>
      <c r="G24" s="63">
        <v>2927281.09677003</v>
      </c>
      <c r="H24" s="14" t="s">
        <v>3</v>
      </c>
      <c r="I24" s="1"/>
    </row>
    <row r="25" spans="1:9" x14ac:dyDescent="0.25">
      <c r="A25" s="1"/>
      <c r="B25" s="120" t="s">
        <v>64</v>
      </c>
      <c r="C25" s="121"/>
      <c r="D25" s="121"/>
      <c r="E25" s="121"/>
      <c r="F25" s="122"/>
      <c r="G25" s="23">
        <f>(G23+G24)*'Fane 15. Nøgletal'!C24</f>
        <v>4563227.5046676053</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159189239.11453119</v>
      </c>
      <c r="H29" s="14" t="s">
        <v>3</v>
      </c>
      <c r="I29" s="1"/>
    </row>
    <row r="30" spans="1:9" x14ac:dyDescent="0.25">
      <c r="A30" s="1"/>
      <c r="B30" s="120" t="s">
        <v>249</v>
      </c>
      <c r="C30" s="121"/>
      <c r="D30" s="121"/>
      <c r="E30" s="121"/>
      <c r="F30" s="122"/>
      <c r="G30" s="63">
        <v>16376271.85999224</v>
      </c>
      <c r="H30" s="14" t="s">
        <v>3</v>
      </c>
      <c r="I30" s="1"/>
    </row>
    <row r="31" spans="1:9" x14ac:dyDescent="0.25">
      <c r="A31" s="1"/>
      <c r="B31" s="120" t="s">
        <v>67</v>
      </c>
      <c r="C31" s="121"/>
      <c r="D31" s="121"/>
      <c r="E31" s="121"/>
      <c r="F31" s="122"/>
      <c r="G31" s="23">
        <f>G29*'Fane 15. Nøgletal'!C24+G30*'Fane 15. Nøgletal'!C25</f>
        <v>4971321.8670024723</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171157149.93157578</v>
      </c>
      <c r="H35" s="14" t="s">
        <v>3</v>
      </c>
      <c r="I35" s="1"/>
    </row>
    <row r="36" spans="1:9" x14ac:dyDescent="0.25">
      <c r="A36" s="1"/>
      <c r="B36" s="120" t="s">
        <v>250</v>
      </c>
      <c r="C36" s="121"/>
      <c r="D36" s="121"/>
      <c r="E36" s="121"/>
      <c r="F36" s="122"/>
      <c r="G36" s="63">
        <v>3896534.3849801607</v>
      </c>
      <c r="H36" s="14" t="s">
        <v>3</v>
      </c>
      <c r="I36" s="1"/>
    </row>
    <row r="37" spans="1:9" x14ac:dyDescent="0.25">
      <c r="A37" s="1"/>
      <c r="B37" s="120" t="s">
        <v>131</v>
      </c>
      <c r="C37" s="121"/>
      <c r="D37" s="121"/>
      <c r="E37" s="121"/>
      <c r="F37" s="122"/>
      <c r="G37" s="23">
        <f>(G35+G36)*'Fane 15. Nøgletal'!C26</f>
        <v>2590794.5278850282</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173032017.32497355</v>
      </c>
      <c r="H41" s="14" t="s">
        <v>3</v>
      </c>
      <c r="I41" s="1"/>
    </row>
    <row r="42" spans="1:9" x14ac:dyDescent="0.25">
      <c r="A42" s="1"/>
      <c r="B42" s="40" t="s">
        <v>156</v>
      </c>
      <c r="C42" s="79"/>
      <c r="D42" s="79"/>
      <c r="E42" s="79"/>
      <c r="F42" s="80"/>
      <c r="G42" s="23">
        <v>5841937.7685878417</v>
      </c>
      <c r="H42" s="14" t="s">
        <v>3</v>
      </c>
      <c r="I42" s="1"/>
    </row>
    <row r="43" spans="1:9" x14ac:dyDescent="0.25">
      <c r="A43" s="1"/>
      <c r="B43" s="120" t="s">
        <v>132</v>
      </c>
      <c r="C43" s="121"/>
      <c r="D43" s="121"/>
      <c r="E43" s="121"/>
      <c r="F43" s="122"/>
      <c r="G43" s="23">
        <f>(G41)*'Fane 15. Nøgletal'!C26+G42*'Fane 15. Nøgletal'!C27</f>
        <v>2560873.8564096089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258</v>
      </c>
      <c r="C52" s="118"/>
      <c r="D52" s="118"/>
      <c r="E52" s="118"/>
      <c r="F52" s="118"/>
      <c r="G52" s="118"/>
      <c r="H52" s="119"/>
      <c r="I52" s="1"/>
    </row>
    <row r="53" spans="1:9" x14ac:dyDescent="0.25">
      <c r="A53" s="1"/>
      <c r="B53" s="120" t="s">
        <v>217</v>
      </c>
      <c r="C53" s="121"/>
      <c r="D53" s="121"/>
      <c r="E53" s="121"/>
      <c r="F53" s="122"/>
      <c r="G53" s="23">
        <f>(G41+G42-G43)*(1+'Fane 15. Nøgletal'!C16)</f>
        <v>190559178.20111364</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5165707.8168371199</v>
      </c>
      <c r="H54" s="14" t="s">
        <v>3</v>
      </c>
      <c r="I54" s="1"/>
    </row>
    <row r="55" spans="1:9" x14ac:dyDescent="0.25">
      <c r="A55" s="1"/>
      <c r="B55" s="120" t="s">
        <v>218</v>
      </c>
      <c r="C55" s="121"/>
      <c r="D55" s="121"/>
      <c r="E55" s="121"/>
      <c r="F55" s="122"/>
      <c r="G55" s="72">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257</v>
      </c>
      <c r="C58" s="118"/>
      <c r="D58" s="118"/>
      <c r="E58" s="118"/>
      <c r="F58" s="118"/>
      <c r="G58" s="118"/>
      <c r="H58" s="119"/>
      <c r="I58" s="1"/>
    </row>
    <row r="59" spans="1:9" x14ac:dyDescent="0.25">
      <c r="A59" s="1"/>
      <c r="B59" s="120" t="s">
        <v>219</v>
      </c>
      <c r="C59" s="121"/>
      <c r="D59" s="121"/>
      <c r="E59" s="121"/>
      <c r="F59" s="122"/>
      <c r="G59" s="23">
        <f>(G53+G54-G55)*(1+'Fane 15. Nøgletal'!C16)</f>
        <v>211539456.80820119</v>
      </c>
      <c r="H59" s="14" t="s">
        <v>3</v>
      </c>
      <c r="I59" s="1"/>
    </row>
    <row r="60" spans="1:9" x14ac:dyDescent="0.25">
      <c r="A60" s="1"/>
      <c r="B60" s="120" t="s">
        <v>220</v>
      </c>
      <c r="C60" s="121"/>
      <c r="D60" s="121"/>
      <c r="E60" s="121"/>
      <c r="F60" s="122"/>
      <c r="G60" s="72">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228631844.91830385</v>
      </c>
      <c r="H64" s="14" t="s">
        <v>3</v>
      </c>
      <c r="I64" s="1"/>
    </row>
    <row r="65" spans="1:9" x14ac:dyDescent="0.25">
      <c r="A65" s="1"/>
      <c r="B65" s="120" t="s">
        <v>222</v>
      </c>
      <c r="C65" s="121"/>
      <c r="D65" s="121"/>
      <c r="E65" s="121"/>
      <c r="F65" s="122"/>
      <c r="G65" s="72">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247105297.98770279</v>
      </c>
      <c r="H69" s="14" t="s">
        <v>3</v>
      </c>
      <c r="I69" s="1"/>
    </row>
    <row r="70" spans="1:9" x14ac:dyDescent="0.25">
      <c r="A70" s="1"/>
      <c r="B70" s="120" t="s">
        <v>222</v>
      </c>
      <c r="C70" s="121"/>
      <c r="D70" s="121"/>
      <c r="E70" s="121"/>
      <c r="F70" s="122"/>
      <c r="G70" s="72">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O5OxDKCn7hK1mnOsl5w5qZ0vXF6h5YnmKBYfmIN+7xr+D1soboV5c5zSDCy/fTOmZ/UXRIHPwBJHku24igFXUw==" saltValue="OXrzHQkEHI8ZqY281hJFq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270</v>
      </c>
      <c r="C9" s="121"/>
      <c r="D9" s="121"/>
      <c r="E9" s="121"/>
      <c r="F9" s="122"/>
      <c r="G9" s="22">
        <v>2.1868888388819692E-3</v>
      </c>
      <c r="H9" s="1"/>
    </row>
    <row r="10" spans="1:8" x14ac:dyDescent="0.25">
      <c r="A10" s="1"/>
      <c r="B10" s="33"/>
      <c r="C10" s="28"/>
      <c r="D10" s="28"/>
      <c r="E10" s="28"/>
      <c r="F10" s="28"/>
      <c r="G10" s="19"/>
      <c r="H10" s="1"/>
    </row>
    <row r="11" spans="1:8" ht="33" customHeight="1" x14ac:dyDescent="0.25">
      <c r="A11" s="1"/>
      <c r="B11" s="131" t="s">
        <v>263</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GLBioO+oQ2J2AOGFQ0JJrj6GLUYUkQRl1XAuxx21zYc6v4gOkEMMnwW/X2CjQLYR0G0NarWMUdZmPbPxrJtsPg==" saltValue="MYRr65LSc/rN0MpAFtbFS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2024-02-12T12:20:26Z</dcterms:modified>
</cp:coreProperties>
</file>