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ALUNDBORG OVERFLADEVAND AS (V111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26" i="32" l="1"/>
  <c r="E35" i="32" l="1"/>
  <c r="E37" i="32" s="1"/>
  <c r="E30" i="32"/>
  <c r="C30" i="2" s="1"/>
  <c r="C14" i="19"/>
  <c r="C23" i="23" l="1"/>
  <c r="C23" i="22"/>
  <c r="C23" i="15"/>
  <c r="C11" i="29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9" i="36" s="1"/>
  <c r="C32" i="21"/>
  <c r="C33" i="21" s="1"/>
  <c r="G55" i="30" s="1"/>
  <c r="E25" i="21"/>
  <c r="E26" i="21" s="1"/>
  <c r="G53" i="36" s="1"/>
  <c r="C25" i="21"/>
  <c r="C26" i="21" s="1"/>
  <c r="G49" i="30" s="1"/>
  <c r="E18" i="21"/>
  <c r="E19" i="21" s="1"/>
  <c r="G43" i="36" s="1"/>
  <c r="C18" i="21"/>
  <c r="C19" i="21" s="1"/>
  <c r="G43" i="30" s="1"/>
  <c r="C10" i="15" l="1"/>
  <c r="C9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0" i="15" s="1"/>
  <c r="C19" i="23"/>
  <c r="C19" i="22"/>
  <c r="C19" i="15"/>
  <c r="C26" i="2"/>
  <c r="C21" i="22" l="1"/>
  <c r="C21" i="23"/>
  <c r="C21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7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3" i="15" s="1"/>
  <c r="E20" i="27"/>
  <c r="E31" i="27" s="1"/>
  <c r="C9" i="2" l="1"/>
  <c r="C18" i="2" s="1"/>
  <c r="C19" i="2" s="1"/>
  <c r="G48" i="30"/>
  <c r="G50" i="30" s="1"/>
  <c r="C21" i="2"/>
  <c r="C14" i="15"/>
  <c r="C22" i="2" l="1"/>
  <c r="G54" i="30"/>
  <c r="G56" i="30" s="1"/>
  <c r="C13" i="23" s="1"/>
  <c r="C13" i="22"/>
  <c r="G52" i="36"/>
  <c r="G54" i="36" s="1"/>
  <c r="C14" i="22" s="1"/>
  <c r="G58" i="36" l="1"/>
  <c r="G60" i="36" s="1"/>
  <c r="C14" i="23" s="1"/>
  <c r="C8" i="15"/>
  <c r="C11" i="15" l="1"/>
  <c r="C12" i="15" s="1"/>
  <c r="C15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6" i="15" l="1"/>
</calcChain>
</file>

<file path=xl/sharedStrings.xml><?xml version="1.0" encoding="utf-8"?>
<sst xmlns="http://schemas.openxmlformats.org/spreadsheetml/2006/main" count="620" uniqueCount="254">
  <si>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</si>
  <si>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</si>
  <si>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</si>
  <si>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</si>
  <si>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</si>
  <si>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</si>
  <si>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</si>
  <si>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</si>
  <si>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</si>
  <si>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</si>
  <si>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</si>
  <si>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</si>
  <si>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</si>
  <si>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</si>
  <si>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</si>
  <si>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</si>
  <si>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</si>
  <si>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</si>
  <si>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</si>
  <si>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</si>
  <si>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</si>
  <si>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</si>
  <si>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</si>
  <si>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</si>
  <si>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</si>
  <si>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</si>
  <si>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</si>
  <si>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</si>
  <si>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</si>
  <si>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</si>
  <si>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</si>
  <si>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</si>
  <si>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</si>
  <si>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</si>
  <si>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</si>
  <si>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</si>
  <si>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</si>
  <si>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</si>
  <si>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</si>
  <si>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</si>
  <si>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</si>
  <si>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</si>
  <si>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</si>
  <si>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</si>
  <si>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</si>
  <si>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</si>
  <si>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</si>
  <si>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</si>
  <si>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</si>
  <si>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</si>
  <si>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</si>
  <si>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</si>
  <si>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</si>
  <si>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</si>
  <si>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</si>
  <si>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</si>
  <si>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</si>
  <si>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</si>
  <si>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</si>
  <si>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</si>
  <si>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</si>
  <si>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</si>
  <si>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</si>
  <si>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</si>
  <si>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</si>
  <si>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</si>
  <si>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</si>
  <si>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</si>
  <si>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</si>
  <si>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</si>
  <si>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</si>
  <si>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</si>
  <si>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</si>
  <si>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</si>
  <si>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</si>
  <si>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</si>
  <si>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</si>
  <si>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</si>
  <si>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</si>
  <si>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</si>
  <si>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</si>
  <si>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</si>
  <si>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</si>
  <si>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</si>
  <si>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</si>
  <si>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</si>
  <si>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</si>
  <si>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</si>
  <si>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</si>
  <si>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</si>
  <si>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</si>
  <si>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</si>
  <si>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</si>
  <si>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</si>
  <si>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</si>
  <si>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</si>
  <si>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</si>
  <si>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</si>
  <si>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</si>
  <si>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</si>
  <si>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</si>
  <si>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</si>
  <si>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</si>
  <si>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</si>
  <si>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</si>
  <si>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</si>
  <si>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</si>
  <si>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</si>
  <si>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</si>
  <si>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</si>
  <si>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</si>
  <si>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</si>
  <si>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</si>
  <si>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</si>
  <si>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</si>
  <si>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</si>
  <si>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</si>
  <si>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</si>
  <si>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</si>
  <si>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</si>
  <si>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</si>
  <si>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</si>
  <si>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</si>
  <si>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</si>
  <si>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</si>
  <si>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</si>
  <si>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</si>
  <si>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</si>
  <si>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</si>
  <si>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</si>
  <si>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</si>
  <si>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</si>
  <si>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</si>
  <si>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</si>
  <si>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</si>
  <si>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</si>
  <si>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</si>
  <si>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</si>
  <si>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</si>
  <si>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</si>
  <si>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</si>
  <si>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</si>
  <si>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</si>
  <si>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</si>
  <si>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</si>
  <si>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</si>
  <si>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</si>
  <si>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</si>
  <si>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</si>
  <si>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</si>
  <si>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</si>
  <si>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</si>
  <si>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</si>
  <si>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</si>
  <si>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</si>
  <si>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</si>
  <si>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</si>
  <si>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</si>
  <si>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</si>
  <si>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</si>
  <si>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</si>
  <si>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</si>
  <si>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</si>
  <si>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</si>
  <si>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</si>
  <si>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</si>
  <si>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</si>
  <si>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</si>
  <si>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</si>
  <si>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</si>
  <si>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</si>
  <si>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</si>
  <si>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</si>
  <si>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</si>
  <si>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</si>
  <si>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</si>
  <si>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</si>
  <si>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</si>
  <si>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</si>
  <si>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</si>
  <si>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</si>
  <si>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</si>
  <si>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</si>
  <si>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</si>
  <si>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</si>
  <si>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</si>
  <si>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</si>
  <si>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</si>
  <si>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</si>
  <si>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</si>
  <si>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</si>
  <si>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</si>
  <si>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</si>
  <si>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</si>
  <si>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</si>
  <si>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</si>
  <si>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</si>
  <si>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</si>
  <si>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</si>
  <si>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</si>
  <si>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</si>
  <si>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</si>
  <si>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</si>
  <si>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</si>
  <si>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</si>
  <si>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</si>
  <si>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</si>
  <si>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</si>
  <si>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</si>
  <si>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</si>
  <si>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</si>
  <si>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</si>
  <si>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</si>
  <si>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</si>
  <si>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</si>
  <si>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</si>
  <si>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</si>
  <si>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</si>
  <si>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</si>
  <si>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</si>
  <si>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</si>
  <si>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</si>
  <si>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</si>
  <si>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</si>
  <si>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</si>
  <si>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</si>
  <si>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</si>
  <si>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</si>
  <si>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</si>
  <si>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</si>
  <si>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</si>
  <si>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</si>
  <si>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</si>
  <si>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</si>
  <si>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</si>
  <si>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</si>
  <si>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</si>
  <si>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</si>
  <si>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</si>
  <si>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</si>
  <si>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</si>
  <si>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</si>
  <si>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</si>
  <si>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</si>
  <si>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</si>
  <si>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Udvidelse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</si>
  <si>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</si>
  <si>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</si>
  <si>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</si>
  <si>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</si>
  <si>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</si>
  <si>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engangstillæg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</si>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</sst>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3" t="s">
        <v>4</v>
      </c>
      <c r="E6" s="83"/>
      <c r="F6" s="83"/>
      <c r="G6" s="83"/>
      <c r="H6" s="3"/>
      <c r="I6" s="1"/>
    </row>
    <row r="7" spans="1:9" ht="15" customHeight="1" x14ac:dyDescent="0.25">
      <c r="A7" s="1"/>
      <c r="B7" s="1"/>
      <c r="C7" s="3"/>
      <c r="D7" s="83"/>
      <c r="E7" s="83"/>
      <c r="F7" s="83"/>
      <c r="G7" s="83"/>
      <c r="H7" s="3"/>
      <c r="I7" s="1"/>
    </row>
    <row r="8" spans="1:9" ht="15.75" x14ac:dyDescent="0.25">
      <c r="A8" s="1"/>
      <c r="B8" s="1"/>
      <c r="C8" s="4"/>
      <c r="D8" s="85" t="s">
        <v>253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0" t="s">
        <v>163</v>
      </c>
      <c r="E13" s="81"/>
      <c r="F13" s="81"/>
      <c r="G13" s="82"/>
      <c r="H13" s="1"/>
      <c r="I13" s="1"/>
    </row>
    <row r="14" spans="1:9" x14ac:dyDescent="0.25">
      <c r="A14" s="1"/>
      <c r="B14" s="1"/>
      <c r="C14" s="6" t="s">
        <v>15</v>
      </c>
      <c r="D14" s="80" t="s">
        <v>83</v>
      </c>
      <c r="E14" s="81"/>
      <c r="F14" s="81"/>
      <c r="G14" s="82"/>
      <c r="H14" s="1"/>
      <c r="I14" s="1"/>
    </row>
    <row r="15" spans="1:9" x14ac:dyDescent="0.25">
      <c r="A15" s="1"/>
      <c r="B15" s="1"/>
      <c r="C15" s="6" t="s">
        <v>35</v>
      </c>
      <c r="D15" s="80" t="s">
        <v>128</v>
      </c>
      <c r="E15" s="81"/>
      <c r="F15" s="81"/>
      <c r="G15" s="82"/>
      <c r="H15" s="1"/>
      <c r="I15" s="1"/>
    </row>
    <row r="16" spans="1:9" x14ac:dyDescent="0.25">
      <c r="A16" s="1"/>
      <c r="B16" s="1"/>
      <c r="C16" s="6" t="s">
        <v>36</v>
      </c>
      <c r="D16" s="80" t="s">
        <v>180</v>
      </c>
      <c r="E16" s="81"/>
      <c r="F16" s="81"/>
      <c r="G16" s="82"/>
      <c r="H16" s="1"/>
      <c r="I16" s="1"/>
    </row>
    <row r="17" spans="1:9" x14ac:dyDescent="0.25">
      <c r="A17" s="1"/>
      <c r="B17" s="1"/>
      <c r="C17" s="6" t="s">
        <v>127</v>
      </c>
      <c r="D17" s="80" t="s">
        <v>181</v>
      </c>
      <c r="E17" s="81"/>
      <c r="F17" s="81"/>
      <c r="G17" s="82"/>
      <c r="H17" s="1"/>
      <c r="I17" s="1"/>
    </row>
    <row r="18" spans="1:9" x14ac:dyDescent="0.25">
      <c r="A18" s="1"/>
      <c r="B18" s="1"/>
      <c r="C18" s="32" t="s">
        <v>111</v>
      </c>
      <c r="D18" s="86" t="s">
        <v>100</v>
      </c>
      <c r="E18" s="87"/>
      <c r="F18" s="87"/>
      <c r="G18" s="88"/>
      <c r="H18" s="1"/>
      <c r="I18" s="1"/>
    </row>
    <row r="19" spans="1:9" x14ac:dyDescent="0.25">
      <c r="A19" s="1"/>
      <c r="B19" s="1"/>
      <c r="C19" s="32" t="s">
        <v>112</v>
      </c>
      <c r="D19" s="86" t="s">
        <v>101</v>
      </c>
      <c r="E19" s="87"/>
      <c r="F19" s="87"/>
      <c r="G19" s="88"/>
      <c r="H19" s="1"/>
      <c r="I19" s="1"/>
    </row>
    <row r="20" spans="1:9" x14ac:dyDescent="0.25">
      <c r="A20" s="1"/>
      <c r="B20" s="1"/>
      <c r="C20" s="32" t="s">
        <v>7</v>
      </c>
      <c r="D20" s="86" t="s">
        <v>9</v>
      </c>
      <c r="E20" s="87"/>
      <c r="F20" s="87"/>
      <c r="G20" s="88"/>
      <c r="H20" s="1"/>
      <c r="I20" s="1"/>
    </row>
    <row r="21" spans="1:9" x14ac:dyDescent="0.25">
      <c r="A21" s="1"/>
      <c r="B21" s="1"/>
      <c r="C21" s="6" t="s">
        <v>113</v>
      </c>
      <c r="D21" s="77" t="s">
        <v>12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87</v>
      </c>
      <c r="D22" s="71" t="s">
        <v>182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8</v>
      </c>
      <c r="D23" s="71" t="s">
        <v>37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170</v>
      </c>
      <c r="D24" s="71" t="s">
        <v>88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171</v>
      </c>
      <c r="D25" s="71" t="s">
        <v>89</v>
      </c>
      <c r="E25" s="72"/>
      <c r="F25" s="72"/>
      <c r="G25" s="73"/>
      <c r="H25" s="1"/>
      <c r="I25" s="1"/>
    </row>
    <row r="26" spans="1:9" x14ac:dyDescent="0.25">
      <c r="A26" s="1"/>
      <c r="B26" s="1"/>
      <c r="C26" s="6" t="s">
        <v>172</v>
      </c>
      <c r="D26" s="71" t="s">
        <v>129</v>
      </c>
      <c r="E26" s="72"/>
      <c r="F26" s="72"/>
      <c r="G26" s="73"/>
      <c r="H26" s="1"/>
      <c r="I26" s="1"/>
    </row>
    <row r="27" spans="1:9" x14ac:dyDescent="0.25">
      <c r="A27" s="1"/>
      <c r="B27" s="1"/>
      <c r="C27" s="6" t="s">
        <v>114</v>
      </c>
      <c r="D27" s="71" t="s">
        <v>38</v>
      </c>
      <c r="E27" s="72"/>
      <c r="F27" s="72"/>
      <c r="G27" s="73"/>
      <c r="H27" s="1"/>
      <c r="I27" s="1"/>
    </row>
    <row r="28" spans="1:9" x14ac:dyDescent="0.25">
      <c r="A28" s="1"/>
      <c r="B28" s="1"/>
      <c r="C28" s="6" t="s">
        <v>108</v>
      </c>
      <c r="D28" s="74" t="s">
        <v>109</v>
      </c>
      <c r="E28" s="75"/>
      <c r="F28" s="75"/>
      <c r="G28" s="76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iQ7Ejvbr6vgthKVbf28yUyhfPV6jJZyb14XzV3xIdyGT1ZgHXK981hF31liE0bFYMfazS8+mneErbISl11pwQ==" saltValue="1iB/D4RB2Bn2H+D8nJ6ED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2" t="s">
        <v>202</v>
      </c>
      <c r="C8" s="113"/>
      <c r="D8" s="114"/>
      <c r="E8" s="1"/>
      <c r="F8" s="1"/>
    </row>
    <row r="9" spans="1:6" ht="15" customHeight="1" x14ac:dyDescent="0.25">
      <c r="A9" s="1"/>
      <c r="B9" s="55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6" t="s">
        <v>227</v>
      </c>
      <c r="C10" s="9">
        <v>25108181</v>
      </c>
      <c r="D10" s="14" t="s">
        <v>3</v>
      </c>
      <c r="E10" s="1"/>
      <c r="F10" s="1"/>
    </row>
    <row r="11" spans="1:6" x14ac:dyDescent="0.25">
      <c r="A11" s="1"/>
      <c r="B11" s="66" t="s">
        <v>228</v>
      </c>
      <c r="C11" s="9">
        <v>114145</v>
      </c>
      <c r="D11" s="14" t="s">
        <v>3</v>
      </c>
      <c r="E11" s="1"/>
      <c r="F11" s="1"/>
    </row>
    <row r="12" spans="1:6" x14ac:dyDescent="0.25">
      <c r="A12" s="1"/>
      <c r="B12" s="66" t="s">
        <v>229</v>
      </c>
      <c r="C12" s="9">
        <v>245539</v>
      </c>
      <c r="D12" s="14" t="s">
        <v>3</v>
      </c>
      <c r="E12" s="1"/>
      <c r="F12" s="1"/>
    </row>
    <row r="13" spans="1:6" x14ac:dyDescent="0.25">
      <c r="A13" s="1"/>
      <c r="B13" s="66" t="s">
        <v>230</v>
      </c>
      <c r="C13" s="9">
        <v>23098</v>
      </c>
      <c r="D13" s="14" t="s">
        <v>3</v>
      </c>
      <c r="E13" s="1"/>
      <c r="F13" s="1"/>
    </row>
    <row r="14" spans="1:6" x14ac:dyDescent="0.25">
      <c r="A14" s="1"/>
      <c r="B14" s="58" t="s">
        <v>204</v>
      </c>
      <c r="C14" s="12">
        <f>SUM(C10:C13)</f>
        <v>25490963</v>
      </c>
      <c r="D14" s="13" t="s">
        <v>3</v>
      </c>
      <c r="E14" s="1"/>
      <c r="F14" s="1"/>
    </row>
    <row r="15" spans="1:6" x14ac:dyDescent="0.25">
      <c r="A15" s="1"/>
      <c r="B15" s="58" t="s">
        <v>205</v>
      </c>
      <c r="C15" s="12">
        <f>C14*(1+'Fane 12. Nøgletal'!C14)^2</f>
        <v>25659480.952387072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HtqvJtAETTgbwhtOaQ6EgrgRewQbnCnmy4hvTLVOBtku3tpP34FeSWCY1eQLWfHJ8kTJUNTHilCx9betkcjaug==" saltValue="NkbpdHiudbm3GlVmfS1j+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7" t="s">
        <v>220</v>
      </c>
      <c r="C3" s="97"/>
      <c r="D3" s="97"/>
      <c r="E3" s="97"/>
      <c r="F3" s="97"/>
      <c r="G3" s="1"/>
    </row>
    <row r="4" spans="1:7" ht="15" customHeight="1" x14ac:dyDescent="0.25">
      <c r="A4" s="1"/>
      <c r="B4" s="97"/>
      <c r="C4" s="97"/>
      <c r="D4" s="97"/>
      <c r="E4" s="97"/>
      <c r="F4" s="97"/>
      <c r="G4" s="1"/>
    </row>
    <row r="5" spans="1:7" ht="15" customHeight="1" x14ac:dyDescent="0.25">
      <c r="A5" s="1"/>
      <c r="B5" s="53"/>
      <c r="C5" s="53"/>
      <c r="D5" s="53"/>
      <c r="E5" s="53"/>
      <c r="F5" s="53"/>
      <c r="G5" s="1"/>
    </row>
    <row r="6" spans="1:7" ht="15" customHeight="1" x14ac:dyDescent="0.25">
      <c r="A6" s="1"/>
      <c r="B6" s="53"/>
      <c r="C6" s="53"/>
      <c r="D6" s="53"/>
      <c r="E6" s="53"/>
      <c r="F6" s="53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232</v>
      </c>
      <c r="C8" s="113"/>
      <c r="D8" s="113"/>
      <c r="E8" s="113"/>
      <c r="F8" s="114"/>
      <c r="G8" s="1"/>
    </row>
    <row r="9" spans="1:7" x14ac:dyDescent="0.25">
      <c r="A9" s="1"/>
      <c r="B9" s="115" t="s">
        <v>233</v>
      </c>
      <c r="C9" s="116"/>
      <c r="D9" s="117"/>
      <c r="E9" s="9">
        <v>-329150.23666666821</v>
      </c>
      <c r="F9" s="14" t="s">
        <v>3</v>
      </c>
      <c r="G9" s="1"/>
    </row>
    <row r="10" spans="1:7" x14ac:dyDescent="0.25">
      <c r="A10" s="1"/>
      <c r="B10" s="115" t="s">
        <v>234</v>
      </c>
      <c r="C10" s="116"/>
      <c r="D10" s="117"/>
      <c r="E10" s="9">
        <v>-2546916.2175759375</v>
      </c>
      <c r="F10" s="14" t="s">
        <v>3</v>
      </c>
      <c r="G10" s="1"/>
    </row>
    <row r="11" spans="1:7" x14ac:dyDescent="0.25">
      <c r="A11" s="1"/>
      <c r="B11" s="115" t="s">
        <v>235</v>
      </c>
      <c r="C11" s="116"/>
      <c r="D11" s="117"/>
      <c r="E11" s="9">
        <v>-3686592.4437992536</v>
      </c>
      <c r="F11" s="14" t="s">
        <v>3</v>
      </c>
      <c r="G11" s="1"/>
    </row>
    <row r="12" spans="1:7" x14ac:dyDescent="0.25">
      <c r="A12" s="1"/>
      <c r="B12" s="115" t="s">
        <v>236</v>
      </c>
      <c r="C12" s="116"/>
      <c r="D12" s="117"/>
      <c r="E12" s="9">
        <f>IF(OR(AND(E10&gt;0,E11&lt;0),AND(E11&lt;0,E34&gt;0)),E17+E18,E11)</f>
        <v>-3686592.4437992536</v>
      </c>
      <c r="F12" s="14" t="s">
        <v>3</v>
      </c>
      <c r="G12" s="1"/>
    </row>
    <row r="13" spans="1:7" x14ac:dyDescent="0.25">
      <c r="A13" s="1"/>
      <c r="B13" s="58"/>
      <c r="C13" s="59"/>
      <c r="D13" s="59"/>
      <c r="E13" s="59"/>
      <c r="F13" s="20"/>
      <c r="G13" s="1"/>
    </row>
    <row r="14" spans="1:7" ht="54.75" customHeight="1" x14ac:dyDescent="0.25">
      <c r="A14" s="1"/>
      <c r="B14" s="101" t="s">
        <v>237</v>
      </c>
      <c r="C14" s="102"/>
      <c r="D14" s="102"/>
      <c r="E14" s="102"/>
      <c r="F14" s="10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238</v>
      </c>
      <c r="C16" s="113"/>
      <c r="D16" s="113"/>
      <c r="E16" s="113"/>
      <c r="F16" s="114"/>
      <c r="G16" s="1"/>
    </row>
    <row r="17" spans="1:7" x14ac:dyDescent="0.25">
      <c r="A17" s="1"/>
      <c r="B17" s="115" t="s">
        <v>239</v>
      </c>
      <c r="C17" s="116"/>
      <c r="D17" s="117"/>
      <c r="E17" s="9">
        <v>-3116754.1087879688</v>
      </c>
      <c r="F17" s="14" t="s">
        <v>3</v>
      </c>
      <c r="G17" s="1"/>
    </row>
    <row r="18" spans="1:7" x14ac:dyDescent="0.25">
      <c r="A18" s="1"/>
      <c r="B18" s="115" t="s">
        <v>240</v>
      </c>
      <c r="C18" s="116"/>
      <c r="D18" s="117"/>
      <c r="E18" s="9">
        <v>-3116754.1087879688</v>
      </c>
      <c r="F18" s="14" t="s">
        <v>3</v>
      </c>
      <c r="G18" s="1"/>
    </row>
    <row r="19" spans="1:7" x14ac:dyDescent="0.25">
      <c r="A19" s="1"/>
      <c r="B19" s="58"/>
      <c r="C19" s="59"/>
      <c r="D19" s="59"/>
      <c r="E19" s="59"/>
      <c r="F19" s="20"/>
      <c r="G19" s="1"/>
    </row>
    <row r="20" spans="1:7" ht="30" customHeight="1" x14ac:dyDescent="0.25">
      <c r="A20" s="1"/>
      <c r="B20" s="101" t="s">
        <v>241</v>
      </c>
      <c r="C20" s="102"/>
      <c r="D20" s="102"/>
      <c r="E20" s="102"/>
      <c r="F20" s="10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0" t="s">
        <v>206</v>
      </c>
      <c r="C22" s="61"/>
      <c r="D22" s="61"/>
      <c r="E22" s="61"/>
      <c r="F22" s="62"/>
      <c r="G22" s="1"/>
    </row>
    <row r="23" spans="1:7" x14ac:dyDescent="0.25">
      <c r="A23" s="1"/>
      <c r="B23" s="63" t="s">
        <v>207</v>
      </c>
      <c r="C23" s="64"/>
      <c r="D23" s="65"/>
      <c r="E23" s="9">
        <v>39406671.646098703</v>
      </c>
      <c r="F23" s="14" t="s">
        <v>3</v>
      </c>
      <c r="G23" s="1"/>
    </row>
    <row r="24" spans="1:7" x14ac:dyDescent="0.25">
      <c r="A24" s="1"/>
      <c r="B24" s="63" t="s">
        <v>208</v>
      </c>
      <c r="C24" s="64"/>
      <c r="D24" s="65"/>
      <c r="E24" s="9">
        <v>40841431</v>
      </c>
      <c r="F24" s="14" t="s">
        <v>3</v>
      </c>
      <c r="G24" s="1"/>
    </row>
    <row r="25" spans="1:7" x14ac:dyDescent="0.25">
      <c r="A25" s="1"/>
      <c r="B25" s="63" t="s">
        <v>34</v>
      </c>
      <c r="C25" s="64"/>
      <c r="D25" s="65"/>
      <c r="E25" s="9">
        <v>0</v>
      </c>
      <c r="F25" s="14" t="s">
        <v>3</v>
      </c>
      <c r="G25" s="1"/>
    </row>
    <row r="26" spans="1:7" x14ac:dyDescent="0.25">
      <c r="A26" s="1"/>
      <c r="B26" s="67" t="s">
        <v>249</v>
      </c>
      <c r="C26" s="68"/>
      <c r="D26" s="69"/>
      <c r="E26" s="45">
        <f>E23-(E24-E25)</f>
        <v>-1434759.3539012969</v>
      </c>
      <c r="F26" s="17" t="s">
        <v>3</v>
      </c>
      <c r="G26" s="1"/>
    </row>
    <row r="27" spans="1:7" x14ac:dyDescent="0.25">
      <c r="A27" s="1"/>
      <c r="B27" s="58"/>
      <c r="C27" s="59"/>
      <c r="D27" s="59"/>
      <c r="E27" s="59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242</v>
      </c>
      <c r="C29" s="113"/>
      <c r="D29" s="113"/>
      <c r="E29" s="113"/>
      <c r="F29" s="114"/>
      <c r="G29" s="1"/>
    </row>
    <row r="30" spans="1:7" x14ac:dyDescent="0.25">
      <c r="A30" s="1"/>
      <c r="B30" s="133" t="s">
        <v>243</v>
      </c>
      <c r="C30" s="134"/>
      <c r="D30" s="135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-3116754.1087879688</v>
      </c>
      <c r="F30" s="17" t="s">
        <v>3</v>
      </c>
      <c r="G30" s="1"/>
    </row>
    <row r="31" spans="1:7" x14ac:dyDescent="0.25">
      <c r="A31" s="1"/>
      <c r="B31" s="112"/>
      <c r="C31" s="113"/>
      <c r="D31" s="113"/>
      <c r="E31" s="113"/>
      <c r="F31" s="114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2" t="s">
        <v>244</v>
      </c>
      <c r="C33" s="113"/>
      <c r="D33" s="113"/>
      <c r="E33" s="113"/>
      <c r="F33" s="114"/>
      <c r="G33" s="1"/>
    </row>
    <row r="34" spans="1:7" x14ac:dyDescent="0.25">
      <c r="A34" s="1"/>
      <c r="B34" s="137" t="s">
        <v>250</v>
      </c>
      <c r="C34" s="138"/>
      <c r="D34" s="139"/>
      <c r="E34" s="9">
        <v>0</v>
      </c>
      <c r="F34" s="14"/>
      <c r="G34" s="1"/>
    </row>
    <row r="35" spans="1:7" x14ac:dyDescent="0.25">
      <c r="A35" s="1"/>
      <c r="B35" s="137" t="s">
        <v>161</v>
      </c>
      <c r="C35" s="138"/>
      <c r="D35" s="139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-1434759.3539012969</v>
      </c>
      <c r="F35" s="14" t="s">
        <v>3</v>
      </c>
      <c r="G35" s="1"/>
    </row>
    <row r="36" spans="1:7" x14ac:dyDescent="0.25">
      <c r="A36" s="1"/>
      <c r="B36" s="137" t="s">
        <v>110</v>
      </c>
      <c r="C36" s="138"/>
      <c r="D36" s="139"/>
      <c r="E36" s="9">
        <v>4</v>
      </c>
      <c r="F36" s="14" t="s">
        <v>19</v>
      </c>
      <c r="G36" s="1"/>
    </row>
    <row r="37" spans="1:7" x14ac:dyDescent="0.25">
      <c r="A37" s="1"/>
      <c r="B37" s="136" t="s">
        <v>160</v>
      </c>
      <c r="C37" s="136"/>
      <c r="D37" s="136"/>
      <c r="E37" s="10">
        <f>E35/E36</f>
        <v>-358689.83847532421</v>
      </c>
      <c r="F37" s="17" t="s">
        <v>3</v>
      </c>
      <c r="G37" s="1"/>
    </row>
    <row r="38" spans="1:7" x14ac:dyDescent="0.25">
      <c r="A38" s="1"/>
      <c r="B38" s="130"/>
      <c r="C38" s="131"/>
      <c r="D38" s="131"/>
      <c r="E38" s="131"/>
      <c r="F38" s="132"/>
      <c r="G38" s="1"/>
    </row>
    <row r="39" spans="1:7" ht="75" customHeight="1" x14ac:dyDescent="0.25">
      <c r="A39" s="1"/>
      <c r="B39" s="101" t="s">
        <v>248</v>
      </c>
      <c r="C39" s="102"/>
      <c r="D39" s="102"/>
      <c r="E39" s="102"/>
      <c r="F39" s="10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JF1Mi5PGap3YuXprPfoWaKYs/js6V3A5D5mQZgt262Yz3aBCwAvv1CZMD+X6HxIgXVoWpxsjO81QtW0u5TpOig==" saltValue="Cbe/ZXtubmsQxGZSINTcUA==" spinCount="100000" sheet="1" objects="1" scenarios="1"/>
  <mergeCells count="21">
    <mergeCell ref="B31:F31"/>
    <mergeCell ref="B33:F33"/>
    <mergeCell ref="B34:D34"/>
    <mergeCell ref="B35:D35"/>
    <mergeCell ref="B36:D36"/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157</v>
      </c>
      <c r="C8" s="113"/>
      <c r="D8" s="113"/>
      <c r="E8" s="113"/>
      <c r="F8" s="113"/>
      <c r="G8" s="113"/>
      <c r="H8" s="11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2"/>
      <c r="I9" s="1"/>
    </row>
    <row r="10" spans="1:9" x14ac:dyDescent="0.25">
      <c r="A10" s="1"/>
      <c r="B10" s="47" t="s">
        <v>252</v>
      </c>
      <c r="C10" s="48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2" t="s">
        <v>158</v>
      </c>
      <c r="C11" s="113"/>
      <c r="D11" s="114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gGTDkJUQUnrnnS46XXEq7NY6DOnbfRm/u0xnnfUYKY9eHTbW6zXnT1tkm2WFVjq+muqJNYfeEko4zEZxs0PDMg==" saltValue="/EAHHtlThvNUgwpDcTSde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8" t="s">
        <v>84</v>
      </c>
      <c r="C8" s="59"/>
      <c r="D8" s="59"/>
      <c r="E8" s="59"/>
      <c r="F8" s="20"/>
      <c r="G8" s="1"/>
    </row>
    <row r="9" spans="1:7" ht="17.25" customHeight="1" x14ac:dyDescent="0.25">
      <c r="A9" s="1"/>
      <c r="B9" s="56" t="s">
        <v>16</v>
      </c>
      <c r="C9" s="56" t="s">
        <v>11</v>
      </c>
      <c r="D9" s="57"/>
      <c r="E9" s="56" t="s">
        <v>32</v>
      </c>
      <c r="F9" s="52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245</v>
      </c>
      <c r="C11" s="22">
        <v>610263</v>
      </c>
      <c r="D11" s="14" t="s">
        <v>3</v>
      </c>
      <c r="E11" s="9">
        <v>3165</v>
      </c>
      <c r="F11" s="14" t="s">
        <v>3</v>
      </c>
      <c r="G11" s="1"/>
    </row>
    <row r="12" spans="1:7" x14ac:dyDescent="0.25">
      <c r="A12" s="1"/>
      <c r="B12" s="58" t="s">
        <v>136</v>
      </c>
      <c r="C12" s="12">
        <f>SUM(C10:C11)</f>
        <v>610263</v>
      </c>
      <c r="D12" s="13" t="s">
        <v>3</v>
      </c>
      <c r="E12" s="12">
        <f>SUM(E10:E11)</f>
        <v>3165</v>
      </c>
      <c r="F12" s="13" t="s">
        <v>3</v>
      </c>
      <c r="G12" s="1"/>
    </row>
    <row r="13" spans="1:7" x14ac:dyDescent="0.25">
      <c r="A13" s="1"/>
      <c r="B13" s="58" t="s">
        <v>209</v>
      </c>
      <c r="C13" s="12">
        <f>C12*(1+'Fane 12. Nøgletal'!C14)</f>
        <v>612276.86790000007</v>
      </c>
      <c r="D13" s="13" t="s">
        <v>3</v>
      </c>
      <c r="E13" s="12">
        <f>E12*(1+'Fane 12. Nøgletal'!C14)</f>
        <v>3175.4445000000001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uzNWXdDFKYj6LMlYfewPGfjl2Ml/rveXvQGhXv19R6fWZNTQ7UXElPNNldNILrDlj/9eVCk7SQg8ExoWF6Ejg==" saltValue="VA+6CcEMH6LXKKzGoJRgX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102</v>
      </c>
      <c r="C8" s="113"/>
      <c r="D8" s="113"/>
      <c r="E8" s="113"/>
      <c r="F8" s="114"/>
      <c r="G8" s="1"/>
    </row>
    <row r="9" spans="1:7" x14ac:dyDescent="0.25">
      <c r="A9" s="1"/>
      <c r="B9" s="56" t="s">
        <v>16</v>
      </c>
      <c r="C9" s="56" t="s">
        <v>11</v>
      </c>
      <c r="D9" s="57"/>
      <c r="E9" s="56" t="s">
        <v>32</v>
      </c>
      <c r="F9" s="52"/>
      <c r="G9" s="1"/>
    </row>
    <row r="10" spans="1:7" x14ac:dyDescent="0.25">
      <c r="A10" s="1"/>
      <c r="B10" s="25" t="s">
        <v>251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8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8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103</v>
      </c>
      <c r="C16" s="113"/>
      <c r="D16" s="113"/>
      <c r="E16" s="113"/>
      <c r="F16" s="114"/>
      <c r="G16" s="1"/>
    </row>
    <row r="17" spans="1:7" x14ac:dyDescent="0.25">
      <c r="A17" s="1"/>
      <c r="B17" s="56" t="s">
        <v>16</v>
      </c>
      <c r="C17" s="56" t="s">
        <v>11</v>
      </c>
      <c r="D17" s="57"/>
      <c r="E17" s="56" t="s">
        <v>32</v>
      </c>
      <c r="F17" s="52"/>
      <c r="G17" s="1"/>
    </row>
    <row r="18" spans="1:7" x14ac:dyDescent="0.25">
      <c r="A18" s="1"/>
      <c r="B18" s="25" t="s">
        <v>251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8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8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2" t="s">
        <v>138</v>
      </c>
      <c r="C24" s="113"/>
      <c r="D24" s="113"/>
      <c r="E24" s="113"/>
      <c r="F24" s="114"/>
      <c r="G24" s="1"/>
    </row>
    <row r="25" spans="1:7" x14ac:dyDescent="0.25">
      <c r="A25" s="1"/>
      <c r="B25" s="56" t="s">
        <v>16</v>
      </c>
      <c r="C25" s="56" t="s">
        <v>11</v>
      </c>
      <c r="D25" s="57"/>
      <c r="E25" s="56" t="s">
        <v>32</v>
      </c>
      <c r="F25" s="52"/>
      <c r="G25" s="1"/>
    </row>
    <row r="26" spans="1:7" x14ac:dyDescent="0.25">
      <c r="A26" s="1"/>
      <c r="B26" s="25" t="s">
        <v>251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8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8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2" t="s">
        <v>211</v>
      </c>
      <c r="C32" s="113"/>
      <c r="D32" s="113"/>
      <c r="E32" s="113"/>
      <c r="F32" s="114"/>
      <c r="G32" s="1"/>
    </row>
    <row r="33" spans="1:7" x14ac:dyDescent="0.25">
      <c r="A33" s="1"/>
      <c r="B33" s="56" t="s">
        <v>16</v>
      </c>
      <c r="C33" s="56" t="s">
        <v>11</v>
      </c>
      <c r="D33" s="57"/>
      <c r="E33" s="56" t="s">
        <v>32</v>
      </c>
      <c r="F33" s="52"/>
      <c r="G33" s="1"/>
    </row>
    <row r="34" spans="1:7" x14ac:dyDescent="0.25">
      <c r="A34" s="1"/>
      <c r="B34" s="25" t="s">
        <v>251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8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8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svKmjZf0WV6TQgsMm5GZjiU4osYfCLO8xvHgDzcQaXPqeP9hzk7YjDbEmMDJ62sIF1IssVj0F346UcIO79kC5A==" saltValue="bSpQDXRJ5DtI/onWUrcF6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166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130</v>
      </c>
      <c r="C8" s="113"/>
      <c r="D8" s="113"/>
      <c r="E8" s="113"/>
      <c r="F8" s="114"/>
      <c r="G8" s="1"/>
    </row>
    <row r="9" spans="1:7" ht="15" customHeight="1" x14ac:dyDescent="0.25">
      <c r="A9" s="1"/>
      <c r="B9" s="51" t="s">
        <v>131</v>
      </c>
      <c r="C9" s="107" t="s">
        <v>11</v>
      </c>
      <c r="D9" s="109"/>
      <c r="E9" s="107" t="s">
        <v>32</v>
      </c>
      <c r="F9" s="109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KAModF0kBOmnuGyD7ETul5x8q14JjEfabsqYXT19dRGN1xJ4GZVKL4HoGP6/8slCOZGXDCdV29MP10OMD4hR8g==" saltValue="0YUveRV0OMxU4YaWf4pSs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165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98</v>
      </c>
      <c r="C8" s="113"/>
      <c r="D8" s="113"/>
      <c r="E8" s="113"/>
      <c r="F8" s="114"/>
      <c r="G8" s="1"/>
    </row>
    <row r="9" spans="1:7" ht="15" customHeight="1" x14ac:dyDescent="0.25">
      <c r="A9" s="1"/>
      <c r="B9" s="51" t="s">
        <v>17</v>
      </c>
      <c r="C9" s="51" t="s">
        <v>11</v>
      </c>
      <c r="D9" s="52"/>
      <c r="E9" s="51" t="s">
        <v>32</v>
      </c>
      <c r="F9" s="52"/>
      <c r="G9" s="1"/>
    </row>
    <row r="10" spans="1:7" x14ac:dyDescent="0.25">
      <c r="A10" s="1"/>
      <c r="B10" s="25" t="s">
        <v>231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8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8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2" t="s">
        <v>99</v>
      </c>
      <c r="C15" s="113"/>
      <c r="D15" s="113"/>
      <c r="E15" s="113"/>
      <c r="F15" s="114"/>
      <c r="G15" s="1"/>
    </row>
    <row r="16" spans="1:7" ht="26.25" x14ac:dyDescent="0.25">
      <c r="A16" s="1"/>
      <c r="B16" s="51" t="s">
        <v>17</v>
      </c>
      <c r="C16" s="51" t="s">
        <v>11</v>
      </c>
      <c r="D16" s="52"/>
      <c r="E16" s="51" t="s">
        <v>32</v>
      </c>
      <c r="F16" s="52"/>
      <c r="G16" s="1"/>
    </row>
    <row r="17" spans="1:7" x14ac:dyDescent="0.25">
      <c r="A17" s="1"/>
      <c r="B17" s="25" t="s">
        <v>231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8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8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2" t="s">
        <v>142</v>
      </c>
      <c r="C22" s="113"/>
      <c r="D22" s="113"/>
      <c r="E22" s="113"/>
      <c r="F22" s="114"/>
      <c r="G22" s="1"/>
    </row>
    <row r="23" spans="1:7" ht="26.25" x14ac:dyDescent="0.25">
      <c r="A23" s="1"/>
      <c r="B23" s="51" t="s">
        <v>17</v>
      </c>
      <c r="C23" s="51" t="s">
        <v>11</v>
      </c>
      <c r="D23" s="52"/>
      <c r="E23" s="51" t="s">
        <v>32</v>
      </c>
      <c r="F23" s="52"/>
      <c r="G23" s="1"/>
    </row>
    <row r="24" spans="1:7" x14ac:dyDescent="0.25">
      <c r="A24" s="1"/>
      <c r="B24" s="25" t="s">
        <v>231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8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8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214</v>
      </c>
      <c r="C29" s="113"/>
      <c r="D29" s="113"/>
      <c r="E29" s="113"/>
      <c r="F29" s="114"/>
      <c r="G29" s="1"/>
    </row>
    <row r="30" spans="1:7" ht="26.25" x14ac:dyDescent="0.25">
      <c r="A30" s="1"/>
      <c r="B30" s="51" t="s">
        <v>17</v>
      </c>
      <c r="C30" s="51" t="s">
        <v>11</v>
      </c>
      <c r="D30" s="52"/>
      <c r="E30" s="51" t="s">
        <v>32</v>
      </c>
      <c r="F30" s="52"/>
      <c r="G30" s="1"/>
    </row>
    <row r="31" spans="1:7" x14ac:dyDescent="0.25">
      <c r="A31" s="1"/>
      <c r="B31" s="25" t="s">
        <v>231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8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8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xhA2XszytRiRg7MjMsCpThWYGg4p1o2M2dtqOSPev9FbjShLnsrPP3yjpUTY40yFO4TiuBZVcEnkbDuAkHx3gQ==" saltValue="8ODjKirwukcU1+kB5n+SC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7" t="s">
        <v>164</v>
      </c>
      <c r="C3" s="97"/>
      <c r="D3" s="1"/>
    </row>
    <row r="4" spans="1:4" ht="25.5" customHeight="1" x14ac:dyDescent="0.25">
      <c r="A4" s="1"/>
      <c r="B4" s="97"/>
      <c r="C4" s="9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8" t="s">
        <v>14</v>
      </c>
      <c r="C8" s="20"/>
      <c r="D8" s="1"/>
    </row>
    <row r="9" spans="1:4" x14ac:dyDescent="0.25">
      <c r="A9" s="1"/>
      <c r="B9" s="66" t="s">
        <v>118</v>
      </c>
      <c r="C9" s="26">
        <v>1.2699999999999999E-2</v>
      </c>
      <c r="D9" s="1"/>
    </row>
    <row r="10" spans="1:4" x14ac:dyDescent="0.25">
      <c r="A10" s="1"/>
      <c r="B10" s="66" t="s">
        <v>22</v>
      </c>
      <c r="C10" s="26">
        <v>1.7500000000000002E-2</v>
      </c>
      <c r="D10" s="1"/>
    </row>
    <row r="11" spans="1:4" x14ac:dyDescent="0.25">
      <c r="A11" s="1"/>
      <c r="B11" s="66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49">
        <v>3.3E-3</v>
      </c>
      <c r="D14" s="1"/>
    </row>
    <row r="15" spans="1:4" x14ac:dyDescent="0.25">
      <c r="A15" s="1"/>
      <c r="B15" s="112"/>
      <c r="C15" s="114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8" t="s">
        <v>106</v>
      </c>
      <c r="C18" s="20"/>
      <c r="D18" s="1"/>
    </row>
    <row r="19" spans="1:4" x14ac:dyDescent="0.25">
      <c r="A19" s="1"/>
      <c r="B19" s="66" t="s">
        <v>120</v>
      </c>
      <c r="C19" s="23">
        <v>9.1000000000000004E-3</v>
      </c>
      <c r="D19" s="1"/>
    </row>
    <row r="20" spans="1:4" x14ac:dyDescent="0.25">
      <c r="A20" s="1"/>
      <c r="B20" s="66" t="s">
        <v>121</v>
      </c>
      <c r="C20" s="23">
        <v>1.77E-2</v>
      </c>
      <c r="D20" s="1"/>
    </row>
    <row r="21" spans="1:4" x14ac:dyDescent="0.25">
      <c r="A21" s="1"/>
      <c r="B21" s="66" t="s">
        <v>122</v>
      </c>
      <c r="C21" s="23">
        <v>8.6999999999999994E-3</v>
      </c>
      <c r="D21" s="1"/>
    </row>
    <row r="22" spans="1:4" x14ac:dyDescent="0.25">
      <c r="A22" s="1"/>
      <c r="B22" s="66" t="s">
        <v>123</v>
      </c>
      <c r="C22" s="35">
        <v>2.8400000000000002E-2</v>
      </c>
      <c r="D22" s="1"/>
    </row>
    <row r="23" spans="1:4" x14ac:dyDescent="0.25">
      <c r="A23" s="1"/>
      <c r="B23" s="66" t="s">
        <v>146</v>
      </c>
      <c r="C23" s="35">
        <v>2.75E-2</v>
      </c>
      <c r="D23" s="1"/>
    </row>
    <row r="24" spans="1:4" x14ac:dyDescent="0.25">
      <c r="A24" s="1"/>
      <c r="B24" s="66" t="s">
        <v>217</v>
      </c>
      <c r="C24" s="35">
        <v>1.4800000000000001E-2</v>
      </c>
      <c r="D24" s="1"/>
    </row>
    <row r="25" spans="1:4" x14ac:dyDescent="0.25">
      <c r="A25" s="1"/>
      <c r="B25" s="5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8" t="s">
        <v>107</v>
      </c>
      <c r="C28" s="20"/>
      <c r="D28" s="1"/>
    </row>
    <row r="29" spans="1:4" x14ac:dyDescent="0.25">
      <c r="A29" s="1"/>
      <c r="B29" s="66" t="s">
        <v>124</v>
      </c>
      <c r="C29" s="26">
        <v>0.02</v>
      </c>
      <c r="D29" s="1"/>
    </row>
    <row r="30" spans="1:4" x14ac:dyDescent="0.25">
      <c r="A30" s="1"/>
      <c r="B30" s="5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Bsnf+9Zl8tzKHA7eXwdbEvXYV9erWto98G1amlmlojMigUTCPxjjncp2SUJ7h+3NBuLn18+mH7KON9bTX6WvRg==" saltValue="AxxRLFvjmpXWI+wD094TrA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183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8" t="s">
        <v>13</v>
      </c>
      <c r="C8" s="59"/>
      <c r="D8" s="20"/>
      <c r="E8" s="1"/>
    </row>
    <row r="9" spans="1:5" x14ac:dyDescent="0.25">
      <c r="A9" s="1"/>
      <c r="B9" s="54" t="s">
        <v>24</v>
      </c>
      <c r="C9" s="7">
        <f>'Fane 3. Omkostninger i ØR2021'!E20</f>
        <v>13808097.054879535</v>
      </c>
      <c r="D9" s="8" t="s">
        <v>3</v>
      </c>
      <c r="E9" s="1"/>
    </row>
    <row r="10" spans="1:5" x14ac:dyDescent="0.25">
      <c r="A10" s="1"/>
      <c r="B10" s="50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2083069.6499457429</v>
      </c>
      <c r="D10" s="8" t="s">
        <v>3</v>
      </c>
      <c r="E10" s="1"/>
    </row>
    <row r="11" spans="1:5" x14ac:dyDescent="0.25">
      <c r="A11" s="1"/>
      <c r="B11" s="50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168795.67646232899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612276.86790000007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3175.4445000000001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170489.77670045034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0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-159014.76633536592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-194466.3824042943</v>
      </c>
      <c r="D21" s="8" t="s">
        <v>3</v>
      </c>
      <c r="E21" s="1"/>
    </row>
    <row r="22" spans="1:5" ht="17.100000000000001" customHeight="1" x14ac:dyDescent="0.25">
      <c r="A22" s="1"/>
      <c r="B22" s="67" t="s">
        <v>20</v>
      </c>
      <c r="C22" s="10">
        <f>SUM(C9,C12:C21)</f>
        <v>14240557.995240325</v>
      </c>
      <c r="D22" s="11" t="s">
        <v>3</v>
      </c>
      <c r="E22" s="1"/>
    </row>
    <row r="23" spans="1:5" ht="15" customHeight="1" x14ac:dyDescent="0.25">
      <c r="A23" s="1"/>
      <c r="B23" s="58" t="s">
        <v>12</v>
      </c>
      <c r="C23" s="59"/>
      <c r="D23" s="20"/>
      <c r="E23" s="1"/>
    </row>
    <row r="24" spans="1:5" ht="15" customHeight="1" x14ac:dyDescent="0.25">
      <c r="A24" s="1"/>
      <c r="B24" s="51" t="s">
        <v>12</v>
      </c>
      <c r="C24" s="10">
        <f>'Fane 6. Ikke-påvirkelige omk.'!C15</f>
        <v>25659480.952387072</v>
      </c>
      <c r="D24" s="11" t="s">
        <v>3</v>
      </c>
      <c r="E24" s="1"/>
    </row>
    <row r="25" spans="1:5" ht="15" customHeight="1" x14ac:dyDescent="0.25">
      <c r="A25" s="1"/>
      <c r="B25" s="58" t="s">
        <v>89</v>
      </c>
      <c r="C25" s="59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7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9"/>
      <c r="D29" s="20"/>
      <c r="E29" s="1"/>
    </row>
    <row r="30" spans="1:5" x14ac:dyDescent="0.25">
      <c r="A30" s="1"/>
      <c r="B30" s="70" t="s">
        <v>162</v>
      </c>
      <c r="C30" s="10">
        <f>'Fane 7. Kontrol af ØR2020'!E30</f>
        <v>-3116754.1087879688</v>
      </c>
      <c r="D30" s="11" t="s">
        <v>3</v>
      </c>
      <c r="E30" s="1"/>
    </row>
    <row r="31" spans="1:5" x14ac:dyDescent="0.25">
      <c r="A31" s="1"/>
      <c r="B31" s="36" t="s">
        <v>224</v>
      </c>
      <c r="C31" s="59"/>
      <c r="D31" s="20"/>
      <c r="E31" s="1"/>
    </row>
    <row r="32" spans="1:5" x14ac:dyDescent="0.25">
      <c r="A32" s="1"/>
      <c r="B32" s="70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8" t="s">
        <v>30</v>
      </c>
      <c r="C33" s="31">
        <f>SUM(C22,C24,C28,C30,C32)</f>
        <v>36783284.838839427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+0DIUyRhOK7fMDJPFgyzMfsXr/8Bo5ktDcgIQyt/vDLW+B34QYGxe1YlBXb0PC3Fkr6T9Hzl45RyimGGORtA0g==" saltValue="79FyGPkk9sHTTpPx8WMrl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8" t="s">
        <v>13</v>
      </c>
      <c r="C7" s="59"/>
      <c r="D7" s="20"/>
      <c r="E7" s="1"/>
    </row>
    <row r="8" spans="1:5" ht="15" customHeight="1" x14ac:dyDescent="0.25">
      <c r="A8" s="1"/>
      <c r="B8" s="54" t="s">
        <v>134</v>
      </c>
      <c r="C8" s="7">
        <f>'Fane 2.1. Økonomisk ramme 2022'!C22</f>
        <v>14240557.995240325</v>
      </c>
      <c r="D8" s="8" t="s">
        <v>3</v>
      </c>
      <c r="E8" s="1"/>
    </row>
    <row r="9" spans="1:5" ht="15" customHeight="1" x14ac:dyDescent="0.25">
      <c r="A9" s="1"/>
      <c r="B9" s="30" t="s">
        <v>28</v>
      </c>
      <c r="C9" s="7">
        <f>-'Fane 11. Bortfald'!C19</f>
        <v>0</v>
      </c>
      <c r="D9" s="8" t="s">
        <v>3</v>
      </c>
      <c r="E9" s="1"/>
    </row>
    <row r="10" spans="1:5" ht="15" customHeight="1" x14ac:dyDescent="0.25">
      <c r="A10" s="1"/>
      <c r="B10" s="30" t="s">
        <v>27</v>
      </c>
      <c r="C10" s="7">
        <f>-'Fane 11. Bortfald'!E19</f>
        <v>0</v>
      </c>
      <c r="D10" s="8" t="s">
        <v>3</v>
      </c>
      <c r="E10" s="1"/>
    </row>
    <row r="11" spans="1:5" ht="15" customHeight="1" x14ac:dyDescent="0.25">
      <c r="A11" s="1"/>
      <c r="B11" s="50" t="s">
        <v>18</v>
      </c>
      <c r="C11" s="9">
        <f>SUM(C8:C10)*'Fane 12. Nøgletal'!C14</f>
        <v>46993.841384293075</v>
      </c>
      <c r="D11" s="8" t="s">
        <v>3</v>
      </c>
      <c r="E11" s="1"/>
    </row>
    <row r="12" spans="1:5" ht="15" customHeight="1" x14ac:dyDescent="0.25">
      <c r="A12" s="1"/>
      <c r="B12" s="50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50" t="s">
        <v>25</v>
      </c>
      <c r="C13" s="9">
        <f>-'Fane 4.1. Gen. krav - drift'!G44</f>
        <v>-156348.72476298717</v>
      </c>
      <c r="D13" s="8" t="s">
        <v>3</v>
      </c>
      <c r="E13" s="1"/>
    </row>
    <row r="14" spans="1:5" ht="15" customHeight="1" x14ac:dyDescent="0.25">
      <c r="A14" s="1"/>
      <c r="B14" s="50" t="s">
        <v>26</v>
      </c>
      <c r="C14" s="9">
        <f>-'Fane 4.2. Gen. krav - anlæg'!G44</f>
        <v>-102137.89071144121</v>
      </c>
      <c r="D14" s="8" t="s">
        <v>3</v>
      </c>
      <c r="E14" s="1"/>
    </row>
    <row r="15" spans="1:5" ht="15" customHeight="1" x14ac:dyDescent="0.25">
      <c r="A15" s="1"/>
      <c r="B15" s="55" t="s">
        <v>20</v>
      </c>
      <c r="C15" s="10">
        <f>SUM(C8:C14)</f>
        <v>14029065.22115019</v>
      </c>
      <c r="D15" s="11" t="s">
        <v>3</v>
      </c>
      <c r="E15" s="1"/>
    </row>
    <row r="16" spans="1:5" x14ac:dyDescent="0.25">
      <c r="A16" s="1"/>
      <c r="B16" s="58" t="s">
        <v>12</v>
      </c>
      <c r="C16" s="59"/>
      <c r="D16" s="20"/>
      <c r="E16" s="1"/>
    </row>
    <row r="17" spans="1:5" ht="15" customHeight="1" x14ac:dyDescent="0.25">
      <c r="A17" s="1"/>
      <c r="B17" s="51" t="s">
        <v>12</v>
      </c>
      <c r="C17" s="10">
        <f>'Fane 6. Ikke-påvirkelige omk.'!C15*(1+'Fane 12. Nøgletal'!C14)</f>
        <v>25744157.239529952</v>
      </c>
      <c r="D17" s="11" t="s">
        <v>3</v>
      </c>
      <c r="E17" s="1"/>
    </row>
    <row r="18" spans="1:5" ht="15" customHeight="1" x14ac:dyDescent="0.25">
      <c r="A18" s="1"/>
      <c r="B18" s="58" t="s">
        <v>89</v>
      </c>
      <c r="C18" s="59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Engangstillæg'!C22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Engangstillæg'!E22</f>
        <v>0</v>
      </c>
      <c r="D20" s="8" t="s">
        <v>3</v>
      </c>
      <c r="E20" s="1"/>
    </row>
    <row r="21" spans="1:5" ht="15" customHeight="1" x14ac:dyDescent="0.25">
      <c r="A21" s="1"/>
      <c r="B21" s="67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6" t="s">
        <v>161</v>
      </c>
      <c r="C22" s="59"/>
      <c r="D22" s="20"/>
      <c r="E22" s="1"/>
    </row>
    <row r="23" spans="1:5" ht="15" customHeight="1" x14ac:dyDescent="0.25">
      <c r="A23" s="1"/>
      <c r="B23" s="70" t="s">
        <v>162</v>
      </c>
      <c r="C23" s="10">
        <f>'Fane 7. Kontrol af ØR2020'!E37</f>
        <v>-358689.83847532421</v>
      </c>
      <c r="D23" s="11" t="s">
        <v>3</v>
      </c>
      <c r="E23" s="1"/>
    </row>
    <row r="24" spans="1:5" x14ac:dyDescent="0.25">
      <c r="A24" s="1"/>
      <c r="B24" s="36" t="s">
        <v>224</v>
      </c>
      <c r="C24" s="59"/>
      <c r="D24" s="20"/>
      <c r="E24" s="1"/>
    </row>
    <row r="25" spans="1:5" x14ac:dyDescent="0.25">
      <c r="A25" s="1"/>
      <c r="B25" s="70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8" t="s">
        <v>97</v>
      </c>
      <c r="C26" s="12">
        <f>SUM(C15,C17,C21,C23,C25)</f>
        <v>39414532.622204818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6OG+V2gLzXABCTTT/b8U/8M1LQ44wcrIvFOUyFqF4tudKl5mNlcSuvUr3IMkFEuCdl06iDCnqo+CGGVPu7aFPw==" saltValue="ZPBhQc8IJNBFlc1zzc5Ku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8" t="s">
        <v>13</v>
      </c>
      <c r="C7" s="59"/>
      <c r="D7" s="20"/>
      <c r="E7" s="1"/>
    </row>
    <row r="8" spans="1:5" ht="15" customHeight="1" x14ac:dyDescent="0.25">
      <c r="A8" s="1"/>
      <c r="B8" s="54" t="s">
        <v>135</v>
      </c>
      <c r="C8" s="7">
        <f>'Fane 2.2. Økonomisk ramme 2023'!C15</f>
        <v>14029065.22115019</v>
      </c>
      <c r="D8" s="8" t="s">
        <v>3</v>
      </c>
      <c r="E8" s="1"/>
    </row>
    <row r="9" spans="1:5" ht="15" customHeight="1" x14ac:dyDescent="0.25">
      <c r="A9" s="1"/>
      <c r="B9" s="54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4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50" t="s">
        <v>18</v>
      </c>
      <c r="C11" s="9">
        <f>SUM(C8:C10)*'Fane 12. Nøgletal'!C14</f>
        <v>46295.915229795624</v>
      </c>
      <c r="D11" s="8" t="s">
        <v>3</v>
      </c>
      <c r="E11" s="1"/>
    </row>
    <row r="12" spans="1:5" ht="15" customHeight="1" x14ac:dyDescent="0.25">
      <c r="A12" s="1"/>
      <c r="B12" s="50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50" t="s">
        <v>25</v>
      </c>
      <c r="C13" s="9">
        <f>-'Fane 4.1. Gen. krav - drift'!G50</f>
        <v>-153727.38204361094</v>
      </c>
      <c r="D13" s="8" t="s">
        <v>3</v>
      </c>
      <c r="E13" s="1"/>
    </row>
    <row r="14" spans="1:5" ht="15" customHeight="1" x14ac:dyDescent="0.25">
      <c r="A14" s="1"/>
      <c r="B14" s="50" t="s">
        <v>26</v>
      </c>
      <c r="C14" s="43">
        <f>-'Fane 4.2. Gen. krav - anlæg'!G54</f>
        <v>-100958.3165536773</v>
      </c>
      <c r="D14" s="8" t="s">
        <v>3</v>
      </c>
      <c r="E14" s="1"/>
    </row>
    <row r="15" spans="1:5" x14ac:dyDescent="0.25">
      <c r="A15" s="1"/>
      <c r="B15" s="55" t="s">
        <v>20</v>
      </c>
      <c r="C15" s="10">
        <f>SUM(C8:C14)</f>
        <v>13820675.437782697</v>
      </c>
      <c r="D15" s="11" t="s">
        <v>3</v>
      </c>
      <c r="E15" s="1"/>
    </row>
    <row r="16" spans="1:5" x14ac:dyDescent="0.25">
      <c r="A16" s="1"/>
      <c r="B16" s="58" t="s">
        <v>12</v>
      </c>
      <c r="C16" s="59"/>
      <c r="D16" s="20"/>
      <c r="E16" s="1"/>
    </row>
    <row r="17" spans="1:5" ht="15" customHeight="1" x14ac:dyDescent="0.25">
      <c r="A17" s="1"/>
      <c r="B17" s="51" t="s">
        <v>12</v>
      </c>
      <c r="C17" s="10">
        <f>'Fane 6. Ikke-påvirkelige omk.'!C15*(1+'Fane 12. Nøgletal'!C14)^2</f>
        <v>25829112.958420403</v>
      </c>
      <c r="D17" s="11" t="s">
        <v>3</v>
      </c>
      <c r="E17" s="1"/>
    </row>
    <row r="18" spans="1:5" ht="15" customHeight="1" x14ac:dyDescent="0.25">
      <c r="A18" s="1"/>
      <c r="B18" s="58" t="s">
        <v>89</v>
      </c>
      <c r="C18" s="59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7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8" t="s">
        <v>161</v>
      </c>
      <c r="C22" s="59"/>
      <c r="D22" s="20"/>
      <c r="E22" s="1"/>
    </row>
    <row r="23" spans="1:5" x14ac:dyDescent="0.25">
      <c r="A23" s="1"/>
      <c r="B23" s="51" t="s">
        <v>162</v>
      </c>
      <c r="C23" s="10">
        <f>'Fane 7. Kontrol af ØR2020'!E37</f>
        <v>-358689.83847532421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9"/>
      <c r="D24" s="20"/>
      <c r="E24" s="1"/>
    </row>
    <row r="25" spans="1:5" ht="15" customHeight="1" x14ac:dyDescent="0.25">
      <c r="A25" s="1"/>
      <c r="B25" s="70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8" t="s">
        <v>186</v>
      </c>
      <c r="C26" s="12">
        <f>SUM(C15,C17,C21,C23,C25)</f>
        <v>39291098.557727776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9Ine/MYyG5BXYJYc6Y8BJGMdMSGnf+j6fFhv5d5ZqvTZwWYGKJrALEWGtLp42CZZ7SGEE7qv4MGJowMd0lkHeg==" saltValue="dJZrJoqr9uM+CBoVH0pqd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187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8" t="s">
        <v>13</v>
      </c>
      <c r="C7" s="59"/>
      <c r="D7" s="20"/>
      <c r="E7" s="1"/>
    </row>
    <row r="8" spans="1:5" ht="15" customHeight="1" x14ac:dyDescent="0.25">
      <c r="A8" s="1"/>
      <c r="B8" s="54" t="s">
        <v>188</v>
      </c>
      <c r="C8" s="7">
        <f>'Fane 2.3. Økonomisk ramme 2024'!C15</f>
        <v>13820675.437782697</v>
      </c>
      <c r="D8" s="8" t="s">
        <v>3</v>
      </c>
      <c r="E8" s="1"/>
    </row>
    <row r="9" spans="1:5" ht="15" customHeight="1" x14ac:dyDescent="0.25">
      <c r="A9" s="1"/>
      <c r="B9" s="54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4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50" t="s">
        <v>18</v>
      </c>
      <c r="C11" s="9">
        <f>SUM(C8:C10)*'Fane 12. Nøgletal'!C14</f>
        <v>45608.228944682902</v>
      </c>
      <c r="D11" s="8" t="s">
        <v>3</v>
      </c>
      <c r="E11" s="1"/>
    </row>
    <row r="12" spans="1:5" ht="15" customHeight="1" x14ac:dyDescent="0.25">
      <c r="A12" s="1"/>
      <c r="B12" s="50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50" t="s">
        <v>25</v>
      </c>
      <c r="C13" s="9">
        <f>-'Fane 4.1. Gen. krav - drift'!G56</f>
        <v>-151149.98875626776</v>
      </c>
      <c r="D13" s="8" t="s">
        <v>3</v>
      </c>
      <c r="E13" s="1"/>
    </row>
    <row r="14" spans="1:5" ht="15" customHeight="1" x14ac:dyDescent="0.25">
      <c r="A14" s="1"/>
      <c r="B14" s="50" t="s">
        <v>26</v>
      </c>
      <c r="C14" s="9">
        <f>-'Fane 4.2. Gen. krav - anlæg'!G60</f>
        <v>-99792.365109129532</v>
      </c>
      <c r="D14" s="8" t="s">
        <v>3</v>
      </c>
      <c r="E14" s="1"/>
    </row>
    <row r="15" spans="1:5" x14ac:dyDescent="0.25">
      <c r="A15" s="1"/>
      <c r="B15" s="55" t="s">
        <v>20</v>
      </c>
      <c r="C15" s="10">
        <f>SUM(C8:C14)</f>
        <v>13615341.312861985</v>
      </c>
      <c r="D15" s="11" t="s">
        <v>3</v>
      </c>
      <c r="E15" s="1"/>
    </row>
    <row r="16" spans="1:5" x14ac:dyDescent="0.25">
      <c r="A16" s="1"/>
      <c r="B16" s="58" t="s">
        <v>12</v>
      </c>
      <c r="C16" s="59"/>
      <c r="D16" s="20"/>
      <c r="E16" s="1"/>
    </row>
    <row r="17" spans="1:5" ht="15" customHeight="1" x14ac:dyDescent="0.25">
      <c r="A17" s="1"/>
      <c r="B17" s="51" t="s">
        <v>12</v>
      </c>
      <c r="C17" s="10">
        <f>'Fane 6. Ikke-påvirkelige omk.'!C15*(1+'Fane 12. Nøgletal'!C14)^3</f>
        <v>25914349.031183191</v>
      </c>
      <c r="D17" s="11" t="s">
        <v>3</v>
      </c>
      <c r="E17" s="1"/>
    </row>
    <row r="18" spans="1:5" ht="15" customHeight="1" x14ac:dyDescent="0.25">
      <c r="A18" s="1"/>
      <c r="B18" s="58" t="s">
        <v>89</v>
      </c>
      <c r="C18" s="59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7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8" t="s">
        <v>161</v>
      </c>
      <c r="C22" s="59"/>
      <c r="D22" s="20"/>
      <c r="E22" s="1"/>
    </row>
    <row r="23" spans="1:5" x14ac:dyDescent="0.25">
      <c r="A23" s="1"/>
      <c r="B23" s="51" t="s">
        <v>162</v>
      </c>
      <c r="C23" s="10">
        <f>'Fane 7. Kontrol af ØR2020'!E37</f>
        <v>-358689.83847532421</v>
      </c>
      <c r="D23" s="11" t="s">
        <v>3</v>
      </c>
      <c r="E23" s="1"/>
    </row>
    <row r="24" spans="1:5" x14ac:dyDescent="0.25">
      <c r="A24" s="1"/>
      <c r="B24" s="36" t="s">
        <v>224</v>
      </c>
      <c r="C24" s="59"/>
      <c r="D24" s="20"/>
      <c r="E24" s="1"/>
    </row>
    <row r="25" spans="1:5" x14ac:dyDescent="0.25">
      <c r="A25" s="1"/>
      <c r="B25" s="70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8" t="s">
        <v>189</v>
      </c>
      <c r="C26" s="12">
        <f>SUM(C15,C17,C21,C23,C25)</f>
        <v>39171000.505569853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al04oLQpWqPmWURo1vIHPbKwHsk2d5zvsVXZdBlNaAxyiG2gKPWiBDRYpsBBMJPruSzGZTt1sPcBsBxTjE9NwA==" saltValue="F3QFhhVzuGg5Ee7tyiPo0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190</v>
      </c>
      <c r="C3" s="97"/>
      <c r="D3" s="97"/>
      <c r="E3" s="97"/>
      <c r="F3" s="97"/>
      <c r="G3" s="1"/>
    </row>
    <row r="4" spans="1:7" ht="29.2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8" t="s">
        <v>223</v>
      </c>
      <c r="C8" s="59"/>
      <c r="D8" s="59"/>
      <c r="E8" s="59"/>
      <c r="F8" s="20"/>
      <c r="G8" s="1"/>
    </row>
    <row r="9" spans="1:7" x14ac:dyDescent="0.25">
      <c r="A9" s="1"/>
      <c r="B9" s="98" t="s">
        <v>23</v>
      </c>
      <c r="C9" s="99"/>
      <c r="D9" s="100"/>
      <c r="E9" s="7">
        <v>11711492.782055017</v>
      </c>
      <c r="F9" s="8" t="s">
        <v>3</v>
      </c>
      <c r="G9" s="1"/>
    </row>
    <row r="10" spans="1:7" ht="15" customHeight="1" x14ac:dyDescent="0.25">
      <c r="A10" s="1"/>
      <c r="B10" s="91" t="s">
        <v>40</v>
      </c>
      <c r="C10" s="92"/>
      <c r="D10" s="93"/>
      <c r="E10" s="9">
        <v>2099961.7421999997</v>
      </c>
      <c r="F10" s="8" t="s">
        <v>3</v>
      </c>
      <c r="G10" s="1"/>
    </row>
    <row r="11" spans="1:7" ht="15" customHeight="1" x14ac:dyDescent="0.25">
      <c r="A11" s="1"/>
      <c r="B11" s="91" t="s">
        <v>41</v>
      </c>
      <c r="C11" s="92"/>
      <c r="D11" s="93"/>
      <c r="E11" s="9">
        <v>171476.802</v>
      </c>
      <c r="F11" s="8" t="s">
        <v>3</v>
      </c>
      <c r="G11" s="1"/>
    </row>
    <row r="12" spans="1:7" x14ac:dyDescent="0.25">
      <c r="A12" s="1"/>
      <c r="B12" s="91" t="s">
        <v>28</v>
      </c>
      <c r="C12" s="92"/>
      <c r="D12" s="93"/>
      <c r="E12" s="9">
        <v>0</v>
      </c>
      <c r="F12" s="8" t="s">
        <v>3</v>
      </c>
      <c r="G12" s="1"/>
    </row>
    <row r="13" spans="1:7" x14ac:dyDescent="0.25">
      <c r="A13" s="1"/>
      <c r="B13" s="91" t="s">
        <v>27</v>
      </c>
      <c r="C13" s="92"/>
      <c r="D13" s="93"/>
      <c r="E13" s="9">
        <v>0</v>
      </c>
      <c r="F13" s="8" t="s">
        <v>3</v>
      </c>
      <c r="G13" s="1"/>
    </row>
    <row r="14" spans="1:7" x14ac:dyDescent="0.25">
      <c r="A14" s="1"/>
      <c r="B14" s="91" t="s">
        <v>132</v>
      </c>
      <c r="C14" s="92"/>
      <c r="D14" s="93"/>
      <c r="E14" s="9">
        <v>0</v>
      </c>
      <c r="F14" s="8" t="s">
        <v>3</v>
      </c>
      <c r="G14" s="1"/>
    </row>
    <row r="15" spans="1:7" x14ac:dyDescent="0.25">
      <c r="A15" s="1"/>
      <c r="B15" s="91" t="s">
        <v>133</v>
      </c>
      <c r="C15" s="92"/>
      <c r="D15" s="93"/>
      <c r="E15" s="9">
        <v>0</v>
      </c>
      <c r="F15" s="8" t="s">
        <v>3</v>
      </c>
      <c r="G15" s="1"/>
    </row>
    <row r="16" spans="1:7" x14ac:dyDescent="0.25">
      <c r="A16" s="1"/>
      <c r="B16" s="91" t="s">
        <v>18</v>
      </c>
      <c r="C16" s="92"/>
      <c r="D16" s="93"/>
      <c r="E16" s="9">
        <v>170591.7621803112</v>
      </c>
      <c r="F16" s="8" t="s">
        <v>3</v>
      </c>
      <c r="G16" s="1"/>
    </row>
    <row r="17" spans="1:7" x14ac:dyDescent="0.25">
      <c r="A17" s="1"/>
      <c r="B17" s="91" t="s">
        <v>9</v>
      </c>
      <c r="C17" s="92"/>
      <c r="D17" s="93"/>
      <c r="E17" s="9">
        <v>0</v>
      </c>
      <c r="F17" s="8" t="s">
        <v>3</v>
      </c>
      <c r="G17" s="1"/>
    </row>
    <row r="18" spans="1:7" x14ac:dyDescent="0.25">
      <c r="A18" s="1"/>
      <c r="B18" s="91" t="s">
        <v>25</v>
      </c>
      <c r="C18" s="92"/>
      <c r="D18" s="93"/>
      <c r="E18" s="9">
        <v>-147918.67653815745</v>
      </c>
      <c r="F18" s="8" t="s">
        <v>3</v>
      </c>
      <c r="G18" s="1"/>
    </row>
    <row r="19" spans="1:7" x14ac:dyDescent="0.25">
      <c r="A19" s="1"/>
      <c r="B19" s="91" t="s">
        <v>26</v>
      </c>
      <c r="C19" s="92"/>
      <c r="D19" s="93"/>
      <c r="E19" s="9">
        <v>-197507.35701763415</v>
      </c>
      <c r="F19" s="8" t="s">
        <v>3</v>
      </c>
      <c r="G19" s="1"/>
    </row>
    <row r="20" spans="1:7" x14ac:dyDescent="0.25">
      <c r="A20" s="1"/>
      <c r="B20" s="104" t="s">
        <v>20</v>
      </c>
      <c r="C20" s="105"/>
      <c r="D20" s="106"/>
      <c r="E20" s="10">
        <f>SUM(E9:E19)</f>
        <v>13808097.054879535</v>
      </c>
      <c r="F20" s="11" t="s">
        <v>3</v>
      </c>
      <c r="G20" s="1"/>
    </row>
    <row r="21" spans="1:7" x14ac:dyDescent="0.25">
      <c r="A21" s="1"/>
      <c r="B21" s="58" t="s">
        <v>12</v>
      </c>
      <c r="C21" s="59"/>
      <c r="D21" s="59"/>
      <c r="E21" s="59"/>
      <c r="F21" s="20"/>
      <c r="G21" s="1"/>
    </row>
    <row r="22" spans="1:7" x14ac:dyDescent="0.25">
      <c r="A22" s="1"/>
      <c r="B22" s="94" t="s">
        <v>12</v>
      </c>
      <c r="C22" s="95"/>
      <c r="D22" s="96"/>
      <c r="E22" s="10">
        <v>23964995.49114636</v>
      </c>
      <c r="F22" s="11" t="s">
        <v>3</v>
      </c>
      <c r="G22" s="1"/>
    </row>
    <row r="23" spans="1:7" ht="15" customHeight="1" x14ac:dyDescent="0.25">
      <c r="A23" s="1"/>
      <c r="B23" s="110" t="s">
        <v>89</v>
      </c>
      <c r="C23" s="111"/>
      <c r="D23" s="111"/>
      <c r="E23" s="59"/>
      <c r="F23" s="59"/>
      <c r="G23" s="1"/>
    </row>
    <row r="24" spans="1:7" ht="14.25" customHeight="1" x14ac:dyDescent="0.25">
      <c r="A24" s="1"/>
      <c r="B24" s="101" t="s">
        <v>85</v>
      </c>
      <c r="C24" s="102"/>
      <c r="D24" s="103"/>
      <c r="E24" s="9">
        <v>0</v>
      </c>
      <c r="F24" s="8" t="s">
        <v>3</v>
      </c>
      <c r="G24" s="1"/>
    </row>
    <row r="25" spans="1:7" ht="14.25" customHeight="1" x14ac:dyDescent="0.25">
      <c r="A25" s="1"/>
      <c r="B25" s="101" t="s">
        <v>86</v>
      </c>
      <c r="C25" s="102"/>
      <c r="D25" s="103"/>
      <c r="E25" s="9">
        <v>0</v>
      </c>
      <c r="F25" s="8" t="s">
        <v>3</v>
      </c>
      <c r="G25" s="1"/>
    </row>
    <row r="26" spans="1:7" x14ac:dyDescent="0.25">
      <c r="A26" s="1"/>
      <c r="B26" s="107" t="s">
        <v>90</v>
      </c>
      <c r="C26" s="108"/>
      <c r="D26" s="108"/>
      <c r="E26" s="10">
        <v>0</v>
      </c>
      <c r="F26" s="11" t="s">
        <v>3</v>
      </c>
      <c r="G26" s="1"/>
    </row>
    <row r="27" spans="1:7" x14ac:dyDescent="0.25">
      <c r="A27" s="1"/>
      <c r="B27" s="58" t="s">
        <v>161</v>
      </c>
      <c r="C27" s="59"/>
      <c r="D27" s="59"/>
      <c r="E27" s="59"/>
      <c r="F27" s="20"/>
      <c r="G27" s="1"/>
    </row>
    <row r="28" spans="1:7" ht="15" customHeight="1" x14ac:dyDescent="0.25">
      <c r="A28" s="1"/>
      <c r="B28" s="107" t="s">
        <v>162</v>
      </c>
      <c r="C28" s="108"/>
      <c r="D28" s="109"/>
      <c r="E28" s="10">
        <v>-3116754.1087879688</v>
      </c>
      <c r="F28" s="11" t="s">
        <v>3</v>
      </c>
      <c r="G28" s="1"/>
    </row>
    <row r="29" spans="1:7" x14ac:dyDescent="0.25">
      <c r="A29" s="1"/>
      <c r="B29" s="58" t="s">
        <v>246</v>
      </c>
      <c r="C29" s="59"/>
      <c r="D29" s="59"/>
      <c r="E29" s="59"/>
      <c r="F29" s="20"/>
      <c r="G29" s="1"/>
    </row>
    <row r="30" spans="1:7" ht="15.6" customHeight="1" x14ac:dyDescent="0.25">
      <c r="A30" s="1"/>
      <c r="B30" s="94" t="s">
        <v>247</v>
      </c>
      <c r="C30" s="95"/>
      <c r="D30" s="96"/>
      <c r="E30" s="10">
        <v>0</v>
      </c>
      <c r="F30" s="11" t="s">
        <v>3</v>
      </c>
      <c r="G30" s="1"/>
    </row>
    <row r="31" spans="1:7" x14ac:dyDescent="0.25">
      <c r="A31" s="1"/>
      <c r="B31" s="58" t="s">
        <v>29</v>
      </c>
      <c r="C31" s="59"/>
      <c r="D31" s="59"/>
      <c r="E31" s="12">
        <f>E20+E22+E26+E28+E30</f>
        <v>34656338.437237926</v>
      </c>
      <c r="F31" s="13" t="s">
        <v>3</v>
      </c>
      <c r="G31" s="1"/>
    </row>
    <row r="32" spans="1:7" ht="27.75" customHeight="1" x14ac:dyDescent="0.25">
      <c r="A32" s="1"/>
      <c r="B32" s="101" t="s">
        <v>191</v>
      </c>
      <c r="C32" s="102"/>
      <c r="D32" s="102"/>
      <c r="E32" s="102"/>
      <c r="F32" s="10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XFtWMmWtG1UvFNbsTGgqMSAx/QxR/NAEBUgismctTDhQf1mkZiIydYgi2xAwuyikEGKFwur5fwA602O+e0ZCzg==" saltValue="fU+hJ9rb23nMaPmETUoGDQ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7" t="s">
        <v>115</v>
      </c>
      <c r="C1" s="97"/>
      <c r="D1" s="97"/>
      <c r="E1" s="97"/>
      <c r="F1" s="97"/>
      <c r="G1" s="97"/>
      <c r="H1" s="97"/>
      <c r="I1" s="1"/>
    </row>
    <row r="2" spans="1:9" ht="15" customHeight="1" x14ac:dyDescent="0.25">
      <c r="A2" s="1"/>
      <c r="B2" s="97"/>
      <c r="C2" s="97"/>
      <c r="D2" s="97"/>
      <c r="E2" s="97"/>
      <c r="F2" s="97"/>
      <c r="G2" s="97"/>
      <c r="H2" s="97"/>
      <c r="I2" s="1"/>
    </row>
    <row r="3" spans="1:9" ht="15" customHeight="1" x14ac:dyDescent="0.25">
      <c r="A3" s="1"/>
      <c r="B3" s="97"/>
      <c r="C3" s="97"/>
      <c r="D3" s="97"/>
      <c r="E3" s="97"/>
      <c r="F3" s="97"/>
      <c r="G3" s="97"/>
      <c r="H3" s="97"/>
      <c r="I3" s="1"/>
    </row>
    <row r="4" spans="1:9" x14ac:dyDescent="0.25">
      <c r="A4" s="1"/>
      <c r="B4" s="112" t="s">
        <v>54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43</v>
      </c>
      <c r="C5" s="116"/>
      <c r="D5" s="116"/>
      <c r="E5" s="116"/>
      <c r="F5" s="117"/>
      <c r="G5" s="24">
        <v>5401081</v>
      </c>
      <c r="H5" s="14" t="s">
        <v>3</v>
      </c>
      <c r="I5" s="1"/>
    </row>
    <row r="6" spans="1:9" x14ac:dyDescent="0.25">
      <c r="A6" s="1"/>
      <c r="B6" s="115" t="s">
        <v>44</v>
      </c>
      <c r="C6" s="116"/>
      <c r="D6" s="116"/>
      <c r="E6" s="116"/>
      <c r="F6" s="117"/>
      <c r="G6" s="24">
        <f>G5*'Fane 12. Nøgletal'!C29</f>
        <v>108021.62</v>
      </c>
      <c r="H6" s="14" t="s">
        <v>3</v>
      </c>
      <c r="I6" s="1"/>
    </row>
    <row r="7" spans="1:9" x14ac:dyDescent="0.25">
      <c r="A7" s="1"/>
      <c r="B7" s="58"/>
      <c r="C7" s="59"/>
      <c r="D7" s="59"/>
      <c r="E7" s="59"/>
      <c r="F7" s="59"/>
      <c r="G7" s="59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55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45</v>
      </c>
      <c r="C10" s="116"/>
      <c r="D10" s="116"/>
      <c r="E10" s="116"/>
      <c r="F10" s="117"/>
      <c r="G10" s="24">
        <f>(G5-G6)*(1+'Fane 12. Nøgletal'!C9)</f>
        <v>5360281.2341259997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9">
        <v>0</v>
      </c>
      <c r="H11" s="14" t="s">
        <v>3</v>
      </c>
      <c r="I11" s="1"/>
    </row>
    <row r="12" spans="1:9" x14ac:dyDescent="0.25">
      <c r="A12" s="1"/>
      <c r="B12" s="115" t="s">
        <v>47</v>
      </c>
      <c r="C12" s="116"/>
      <c r="D12" s="116"/>
      <c r="E12" s="116"/>
      <c r="F12" s="117"/>
      <c r="G12" s="24">
        <f>(G10+G11)*'Fane 12. Nøgletal'!C29</f>
        <v>107205.62468251999</v>
      </c>
      <c r="H12" s="14" t="s">
        <v>3</v>
      </c>
      <c r="I12" s="1"/>
    </row>
    <row r="13" spans="1:9" x14ac:dyDescent="0.25">
      <c r="A13" s="1"/>
      <c r="B13" s="58"/>
      <c r="C13" s="59"/>
      <c r="D13" s="59"/>
      <c r="E13" s="59"/>
      <c r="F13" s="59"/>
      <c r="G13" s="59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56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48</v>
      </c>
      <c r="C16" s="116"/>
      <c r="D16" s="116"/>
      <c r="E16" s="116"/>
      <c r="F16" s="117"/>
      <c r="G16" s="24">
        <f>(G10+G11-G12)*(1+'Fane 12. Nøgletal'!C11)</f>
        <v>5341852.5872430746</v>
      </c>
      <c r="H16" s="14" t="s">
        <v>3</v>
      </c>
      <c r="I16" s="1"/>
    </row>
    <row r="17" spans="1:9" x14ac:dyDescent="0.25">
      <c r="A17" s="1"/>
      <c r="B17" s="115" t="s">
        <v>125</v>
      </c>
      <c r="C17" s="116"/>
      <c r="D17" s="116"/>
      <c r="E17" s="116"/>
      <c r="F17" s="117"/>
      <c r="G17" s="24">
        <v>-10432.107727753541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9">
        <v>0</v>
      </c>
      <c r="H18" s="14" t="s">
        <v>3</v>
      </c>
      <c r="I18" s="1"/>
    </row>
    <row r="19" spans="1:9" x14ac:dyDescent="0.25">
      <c r="A19" s="1"/>
      <c r="B19" s="115" t="s">
        <v>50</v>
      </c>
      <c r="C19" s="116"/>
      <c r="D19" s="116"/>
      <c r="E19" s="116"/>
      <c r="F19" s="117"/>
      <c r="G19" s="24">
        <f>SUM(G16:G18)*'Fane 12. Nøgletal'!C29</f>
        <v>106628.40959030642</v>
      </c>
      <c r="H19" s="14" t="s">
        <v>3</v>
      </c>
      <c r="I19" s="1"/>
    </row>
    <row r="20" spans="1:9" x14ac:dyDescent="0.25">
      <c r="A20" s="1"/>
      <c r="B20" s="58"/>
      <c r="C20" s="59"/>
      <c r="D20" s="59"/>
      <c r="E20" s="59"/>
      <c r="F20" s="59"/>
      <c r="G20" s="59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57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51</v>
      </c>
      <c r="C23" s="116"/>
      <c r="D23" s="116"/>
      <c r="E23" s="116"/>
      <c r="F23" s="117"/>
      <c r="G23" s="24">
        <f>(SUM(G16:G18)-G19)*(1+'Fane 12. Nøgletal'!C11)</f>
        <v>5313091.0559067465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9">
        <v>0</v>
      </c>
      <c r="H24" s="14" t="s">
        <v>3</v>
      </c>
      <c r="I24" s="1"/>
    </row>
    <row r="25" spans="1:9" x14ac:dyDescent="0.25">
      <c r="A25" s="1"/>
      <c r="B25" s="115" t="s">
        <v>53</v>
      </c>
      <c r="C25" s="116"/>
      <c r="D25" s="116"/>
      <c r="E25" s="116"/>
      <c r="F25" s="117"/>
      <c r="G25" s="24">
        <f>(G23+G24)*'Fane 12. Nøgletal'!C29</f>
        <v>106261.82111813493</v>
      </c>
      <c r="H25" s="14" t="s">
        <v>3</v>
      </c>
      <c r="I25" s="1"/>
    </row>
    <row r="26" spans="1:9" x14ac:dyDescent="0.25">
      <c r="A26" s="1"/>
      <c r="B26" s="58"/>
      <c r="C26" s="59"/>
      <c r="D26" s="59"/>
      <c r="E26" s="59"/>
      <c r="F26" s="59"/>
      <c r="G26" s="59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175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60</v>
      </c>
      <c r="C29" s="116"/>
      <c r="D29" s="116"/>
      <c r="E29" s="116"/>
      <c r="F29" s="117"/>
      <c r="G29" s="24">
        <f>(G23+G24-G25)*(1+'Fane 12. Nøgletal'!C13)</f>
        <v>5270352.5514530325</v>
      </c>
      <c r="H29" s="14" t="s">
        <v>3</v>
      </c>
      <c r="I29" s="1"/>
    </row>
    <row r="30" spans="1:9" x14ac:dyDescent="0.25">
      <c r="A30" s="1"/>
      <c r="B30" s="115" t="s">
        <v>147</v>
      </c>
      <c r="C30" s="116"/>
      <c r="D30" s="116"/>
      <c r="E30" s="116"/>
      <c r="F30" s="117"/>
      <c r="G30" s="24">
        <f>SUM('Fane 3. Omkostninger i ØR2021'!E10,'Fane 3. Omkostninger i ØR2021'!E12,'Fane 3. Omkostninger i ØR2021'!E14)*(1+'Fane 12. Nøgletal'!C13)</f>
        <v>2125581.2754548397</v>
      </c>
      <c r="H30" s="14" t="s">
        <v>3</v>
      </c>
      <c r="I30" s="1"/>
    </row>
    <row r="31" spans="1:9" x14ac:dyDescent="0.25">
      <c r="A31" s="1"/>
      <c r="B31" s="115" t="s">
        <v>159</v>
      </c>
      <c r="C31" s="116"/>
      <c r="D31" s="116"/>
      <c r="E31" s="116"/>
      <c r="F31" s="117"/>
      <c r="G31" s="24">
        <f>(G29+G30)*'Fane 12. Nøgletal'!C29</f>
        <v>147918.67653815745</v>
      </c>
      <c r="H31" s="14" t="s">
        <v>3</v>
      </c>
      <c r="I31" s="1"/>
    </row>
    <row r="32" spans="1:9" x14ac:dyDescent="0.25">
      <c r="A32" s="1"/>
      <c r="B32" s="58"/>
      <c r="C32" s="59"/>
      <c r="D32" s="59"/>
      <c r="E32" s="59"/>
      <c r="F32" s="59"/>
      <c r="G32" s="59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176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80</v>
      </c>
      <c r="C35" s="116"/>
      <c r="D35" s="116"/>
      <c r="E35" s="116"/>
      <c r="F35" s="117"/>
      <c r="G35" s="24">
        <f>(G29+G30-G31)*(1+'Fane 12. Nøgletal'!C13)</f>
        <v>7336440.9352042256</v>
      </c>
      <c r="H35" s="14" t="s">
        <v>3</v>
      </c>
      <c r="I35" s="1"/>
    </row>
    <row r="36" spans="1:9" x14ac:dyDescent="0.25">
      <c r="A36" s="1"/>
      <c r="B36" s="37" t="s">
        <v>192</v>
      </c>
      <c r="C36" s="64"/>
      <c r="D36" s="64"/>
      <c r="E36" s="64"/>
      <c r="F36" s="65"/>
      <c r="G36" s="24">
        <f>SUM('Fane 2.1. Økonomisk ramme 2022'!C10)*(1+'Fane 12. Nøgletal'!C14)</f>
        <v>2089943.779790564</v>
      </c>
      <c r="H36" s="14" t="s">
        <v>3</v>
      </c>
      <c r="I36" s="1"/>
    </row>
    <row r="37" spans="1:9" x14ac:dyDescent="0.25">
      <c r="A37" s="1"/>
      <c r="B37" s="115" t="s">
        <v>221</v>
      </c>
      <c r="C37" s="116"/>
      <c r="D37" s="116"/>
      <c r="E37" s="116"/>
      <c r="F37" s="117"/>
      <c r="G37" s="24">
        <f>SUM('Fane 2.1. Økonomisk ramme 2022'!C12,'Fane 2.1. Økonomisk ramme 2022'!C14,'Fane 2.1. Økonomisk ramme 2022'!C16)*(1+'Fane 12. Nøgletal'!C14)</f>
        <v>614297.38156407012</v>
      </c>
      <c r="H37" s="14" t="s">
        <v>3</v>
      </c>
      <c r="I37" s="1"/>
    </row>
    <row r="38" spans="1:9" x14ac:dyDescent="0.25">
      <c r="A38" s="1"/>
      <c r="B38" s="115" t="s">
        <v>177</v>
      </c>
      <c r="C38" s="116"/>
      <c r="D38" s="116"/>
      <c r="E38" s="116"/>
      <c r="F38" s="117"/>
      <c r="G38" s="24">
        <f>(G35+G37)*'Fane 12. Nøgletal'!C29</f>
        <v>159014.76633536592</v>
      </c>
      <c r="H38" s="14" t="s">
        <v>3</v>
      </c>
      <c r="I38" s="1"/>
    </row>
    <row r="39" spans="1:9" x14ac:dyDescent="0.25">
      <c r="A39" s="1"/>
      <c r="B39" s="58"/>
      <c r="C39" s="59"/>
      <c r="D39" s="59"/>
      <c r="E39" s="59"/>
      <c r="F39" s="59"/>
      <c r="G39" s="59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81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79</v>
      </c>
      <c r="C42" s="116"/>
      <c r="D42" s="116"/>
      <c r="E42" s="116"/>
      <c r="F42" s="117"/>
      <c r="G42" s="24">
        <f>(G35+G37-G38)*(1+'Fane 12. Nøgletal'!C14)</f>
        <v>7817436.2381493589</v>
      </c>
      <c r="H42" s="14" t="s">
        <v>3</v>
      </c>
      <c r="I42" s="1"/>
    </row>
    <row r="43" spans="1:9" x14ac:dyDescent="0.25">
      <c r="A43" s="1"/>
      <c r="B43" s="115" t="s">
        <v>92</v>
      </c>
      <c r="C43" s="116"/>
      <c r="D43" s="116"/>
      <c r="E43" s="116"/>
      <c r="F43" s="117"/>
      <c r="G43" s="9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5" t="s">
        <v>61</v>
      </c>
      <c r="C44" s="116"/>
      <c r="D44" s="116"/>
      <c r="E44" s="116"/>
      <c r="F44" s="117"/>
      <c r="G44" s="24">
        <f>(G42+G43)*'Fane 12. Nøgletal'!C29</f>
        <v>156348.72476298717</v>
      </c>
      <c r="H44" s="14" t="s">
        <v>3</v>
      </c>
      <c r="I44" s="1"/>
    </row>
    <row r="45" spans="1:9" x14ac:dyDescent="0.25">
      <c r="A45" s="1"/>
      <c r="B45" s="58"/>
      <c r="C45" s="59"/>
      <c r="D45" s="59"/>
      <c r="E45" s="59"/>
      <c r="F45" s="59"/>
      <c r="G45" s="59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148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149</v>
      </c>
      <c r="C48" s="116"/>
      <c r="D48" s="116"/>
      <c r="E48" s="116"/>
      <c r="F48" s="117"/>
      <c r="G48" s="24">
        <f>(G42+G43-G44)*(1+'Fane 12. Nøgletal'!C14)</f>
        <v>7686369.1021805471</v>
      </c>
      <c r="H48" s="14" t="s">
        <v>3</v>
      </c>
      <c r="I48" s="1"/>
    </row>
    <row r="49" spans="1:9" x14ac:dyDescent="0.25">
      <c r="A49" s="1"/>
      <c r="B49" s="115" t="s">
        <v>150</v>
      </c>
      <c r="C49" s="116"/>
      <c r="D49" s="116"/>
      <c r="E49" s="116"/>
      <c r="F49" s="117"/>
      <c r="G49" s="9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5" t="s">
        <v>151</v>
      </c>
      <c r="C50" s="116"/>
      <c r="D50" s="116"/>
      <c r="E50" s="116"/>
      <c r="F50" s="117"/>
      <c r="G50" s="24">
        <f>(G48+G49)*'Fane 12. Nøgletal'!C29</f>
        <v>153727.38204361094</v>
      </c>
      <c r="H50" s="14" t="s">
        <v>3</v>
      </c>
      <c r="I50" s="1"/>
    </row>
    <row r="51" spans="1:9" x14ac:dyDescent="0.25">
      <c r="A51" s="1"/>
      <c r="B51" s="58"/>
      <c r="C51" s="59"/>
      <c r="D51" s="59"/>
      <c r="E51" s="59"/>
      <c r="F51" s="59"/>
      <c r="G51" s="59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198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199</v>
      </c>
      <c r="C54" s="116"/>
      <c r="D54" s="116"/>
      <c r="E54" s="116"/>
      <c r="F54" s="117"/>
      <c r="G54" s="24">
        <f>(G48+G49-G50)*(1+'Fane 12. Nøgletal'!C14)</f>
        <v>7557499.4378133882</v>
      </c>
      <c r="H54" s="14" t="s">
        <v>3</v>
      </c>
      <c r="I54" s="1"/>
    </row>
    <row r="55" spans="1:9" x14ac:dyDescent="0.25">
      <c r="A55" s="1"/>
      <c r="B55" s="115" t="s">
        <v>200</v>
      </c>
      <c r="C55" s="116"/>
      <c r="D55" s="116"/>
      <c r="E55" s="116"/>
      <c r="F55" s="117"/>
      <c r="G55" s="9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5" t="s">
        <v>201</v>
      </c>
      <c r="C56" s="116"/>
      <c r="D56" s="116"/>
      <c r="E56" s="116"/>
      <c r="F56" s="117"/>
      <c r="G56" s="24">
        <f>(G54+G55)*'Fane 12. Nøgletal'!C29</f>
        <v>151149.98875626776</v>
      </c>
      <c r="H56" s="14" t="s">
        <v>3</v>
      </c>
      <c r="I56" s="1"/>
    </row>
    <row r="57" spans="1:9" x14ac:dyDescent="0.25">
      <c r="A57" s="1"/>
      <c r="B57" s="58"/>
      <c r="C57" s="59"/>
      <c r="D57" s="59"/>
      <c r="E57" s="59"/>
      <c r="F57" s="59"/>
      <c r="G57" s="59"/>
      <c r="H57" s="20"/>
      <c r="I57" s="1"/>
    </row>
  </sheetData>
  <sheetProtection algorithmName="SHA-512" hashValue="yheRuqNs4r0pecgf28ZoRuFudSqfS+T4d28qJbfsvbmLS9FaxD0SEh9XKaQoXhr5CeghkILTVicEp5v/+sGJbg==" saltValue="x5b6kYYmKDk0FV9PUkG6rw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61"/>
  <sheetViews>
    <sheetView showGridLines="0" view="pageLayout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2" t="s">
        <v>58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62</v>
      </c>
      <c r="C5" s="116"/>
      <c r="D5" s="116"/>
      <c r="E5" s="116"/>
      <c r="F5" s="117"/>
      <c r="G5" s="24">
        <v>3020500</v>
      </c>
      <c r="H5" s="14" t="s">
        <v>3</v>
      </c>
      <c r="I5" s="1"/>
    </row>
    <row r="6" spans="1:9" x14ac:dyDescent="0.25">
      <c r="A6" s="1"/>
      <c r="B6" s="115" t="s">
        <v>59</v>
      </c>
      <c r="C6" s="116"/>
      <c r="D6" s="116"/>
      <c r="E6" s="116"/>
      <c r="F6" s="117"/>
      <c r="G6" s="24">
        <f>G5*'Fane 12. Nøgletal'!C19</f>
        <v>27486.550000000003</v>
      </c>
      <c r="H6" s="14" t="s">
        <v>3</v>
      </c>
      <c r="I6" s="1"/>
    </row>
    <row r="7" spans="1:9" x14ac:dyDescent="0.25">
      <c r="A7" s="1"/>
      <c r="B7" s="58"/>
      <c r="C7" s="59"/>
      <c r="D7" s="59"/>
      <c r="E7" s="59"/>
      <c r="F7" s="59"/>
      <c r="G7" s="59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63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64</v>
      </c>
      <c r="C10" s="116"/>
      <c r="D10" s="116"/>
      <c r="E10" s="116"/>
      <c r="F10" s="117"/>
      <c r="G10" s="24">
        <f>(G5-G6)*(1+'Fane 12. Nøgletal'!C9)</f>
        <v>3031024.7208150001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9">
        <v>0</v>
      </c>
      <c r="H11" s="14" t="s">
        <v>3</v>
      </c>
      <c r="I11" s="1"/>
    </row>
    <row r="12" spans="1:9" x14ac:dyDescent="0.25">
      <c r="A12" s="1"/>
      <c r="B12" s="115" t="s">
        <v>66</v>
      </c>
      <c r="C12" s="116"/>
      <c r="D12" s="116"/>
      <c r="E12" s="116"/>
      <c r="F12" s="117"/>
      <c r="G12" s="24">
        <f>G10*'Fane 12. Nøgletal'!C19+G11*'Fane 12. Nøgletal'!C20</f>
        <v>27582.324959416503</v>
      </c>
      <c r="H12" s="14" t="s">
        <v>3</v>
      </c>
      <c r="I12" s="1"/>
    </row>
    <row r="13" spans="1:9" x14ac:dyDescent="0.25">
      <c r="A13" s="1"/>
      <c r="B13" s="58"/>
      <c r="C13" s="59"/>
      <c r="D13" s="59"/>
      <c r="E13" s="59"/>
      <c r="F13" s="59"/>
      <c r="G13" s="59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67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68</v>
      </c>
      <c r="C16" s="116"/>
      <c r="D16" s="116"/>
      <c r="E16" s="116"/>
      <c r="F16" s="117"/>
      <c r="G16" s="24">
        <f>(G10+G11-G12)*(1+'Fane 12. Nøgletal'!C11)</f>
        <v>3054200.5723455427</v>
      </c>
      <c r="H16" s="14" t="s">
        <v>3</v>
      </c>
      <c r="I16" s="1"/>
    </row>
    <row r="17" spans="1:9" x14ac:dyDescent="0.25">
      <c r="A17" s="1"/>
      <c r="B17" s="115" t="s">
        <v>126</v>
      </c>
      <c r="C17" s="116"/>
      <c r="D17" s="116"/>
      <c r="E17" s="116"/>
      <c r="F17" s="117"/>
      <c r="G17" s="24">
        <v>-1008464.5399294044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1249970.6287140897</v>
      </c>
      <c r="H18" s="14" t="s">
        <v>3</v>
      </c>
      <c r="I18" s="1"/>
    </row>
    <row r="19" spans="1:9" x14ac:dyDescent="0.25">
      <c r="A19" s="1"/>
      <c r="B19" s="115" t="s">
        <v>70</v>
      </c>
      <c r="C19" s="116"/>
      <c r="D19" s="116"/>
      <c r="E19" s="116"/>
      <c r="F19" s="117"/>
      <c r="G19" s="24">
        <f>(G16+G17+G18)*'Fane 12. Nøgletal'!C21</f>
        <v>28672.647951832983</v>
      </c>
      <c r="H19" s="14" t="s">
        <v>3</v>
      </c>
      <c r="I19" s="1"/>
    </row>
    <row r="20" spans="1:9" x14ac:dyDescent="0.25">
      <c r="A20" s="1"/>
      <c r="B20" s="58"/>
      <c r="C20" s="59"/>
      <c r="D20" s="59"/>
      <c r="E20" s="59"/>
      <c r="F20" s="59"/>
      <c r="G20" s="59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71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72</v>
      </c>
      <c r="C23" s="116"/>
      <c r="D23" s="116"/>
      <c r="E23" s="116"/>
      <c r="F23" s="117"/>
      <c r="G23" s="24">
        <f>(SUM(G16:G18)-G19)*(1+'Fane 12. Nøgletal'!C11)</f>
        <v>3322246.8880011099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3736826.079918175</v>
      </c>
      <c r="H24" s="14" t="s">
        <v>3</v>
      </c>
      <c r="I24" s="1"/>
    </row>
    <row r="25" spans="1:9" x14ac:dyDescent="0.25">
      <c r="A25" s="1"/>
      <c r="B25" s="115" t="s">
        <v>74</v>
      </c>
      <c r="C25" s="116"/>
      <c r="D25" s="116"/>
      <c r="E25" s="116"/>
      <c r="F25" s="117"/>
      <c r="G25" s="24">
        <f>G23*'Fane 12. Nøgletal'!C21+G24*'Fane 12. Nøgletal'!C22</f>
        <v>135029.40859528581</v>
      </c>
      <c r="H25" s="14" t="s">
        <v>3</v>
      </c>
      <c r="I25" s="1"/>
    </row>
    <row r="26" spans="1:9" x14ac:dyDescent="0.25">
      <c r="A26" s="1"/>
      <c r="B26" s="58"/>
      <c r="C26" s="59"/>
      <c r="D26" s="59"/>
      <c r="E26" s="59"/>
      <c r="F26" s="59"/>
      <c r="G26" s="59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173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75</v>
      </c>
      <c r="C29" s="116"/>
      <c r="D29" s="116"/>
      <c r="E29" s="116"/>
      <c r="F29" s="117"/>
      <c r="G29" s="24">
        <f>(G23+G24-G25)*(1+'Fane 12. Nøgletal'!C13)</f>
        <v>7008516.890747752</v>
      </c>
      <c r="H29" s="14" t="s">
        <v>3</v>
      </c>
      <c r="I29" s="1"/>
    </row>
    <row r="30" spans="1:9" x14ac:dyDescent="0.25">
      <c r="A30" s="1"/>
      <c r="B30" s="115" t="s">
        <v>152</v>
      </c>
      <c r="C30" s="116"/>
      <c r="D30" s="116"/>
      <c r="E30" s="116"/>
      <c r="F30" s="117"/>
      <c r="G30" s="24">
        <v>173568.81898439999</v>
      </c>
      <c r="H30" s="14" t="s">
        <v>3</v>
      </c>
      <c r="I30" s="1"/>
    </row>
    <row r="31" spans="1:9" x14ac:dyDescent="0.25">
      <c r="A31" s="1"/>
      <c r="B31" s="115" t="s">
        <v>174</v>
      </c>
      <c r="C31" s="116"/>
      <c r="D31" s="116"/>
      <c r="E31" s="116"/>
      <c r="F31" s="117"/>
      <c r="G31" s="24">
        <f>(G29+G30)*'Fane 12. Nøgletal'!C23</f>
        <v>197507.35701763417</v>
      </c>
      <c r="H31" s="14" t="s">
        <v>3</v>
      </c>
      <c r="I31" s="1"/>
    </row>
    <row r="32" spans="1:9" x14ac:dyDescent="0.25">
      <c r="A32" s="1"/>
      <c r="B32" s="58"/>
      <c r="C32" s="59"/>
      <c r="D32" s="59"/>
      <c r="E32" s="59"/>
      <c r="F32" s="59"/>
      <c r="G32" s="59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178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78</v>
      </c>
      <c r="C35" s="116"/>
      <c r="D35" s="116"/>
      <c r="E35" s="116"/>
      <c r="F35" s="117"/>
      <c r="G35" s="24">
        <f>(G29+G30-G31)*(1+'Fane 12. Nøgletal'!C13)</f>
        <v>7069790.2086176341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169352.7021946547</v>
      </c>
      <c r="H36" s="14" t="s">
        <v>3</v>
      </c>
      <c r="I36" s="38"/>
    </row>
    <row r="37" spans="1:9" x14ac:dyDescent="0.25">
      <c r="A37" s="1"/>
      <c r="B37" s="115" t="s">
        <v>193</v>
      </c>
      <c r="C37" s="116"/>
      <c r="D37" s="116"/>
      <c r="E37" s="116"/>
      <c r="F37" s="117"/>
      <c r="G37" s="24">
        <f>SUM('Fane 2.1. Økonomisk ramme 2022'!C13,'Fane 2.1. Økonomisk ramme 2022'!C15,'Fane 2.1. Økonomisk ramme 2022'!C17)*(1+'Fane 12. Nøgletal'!C14)</f>
        <v>3185.9234668500003</v>
      </c>
      <c r="H37" s="14" t="s">
        <v>3</v>
      </c>
      <c r="I37" s="1"/>
    </row>
    <row r="38" spans="1:9" x14ac:dyDescent="0.25">
      <c r="A38" s="1"/>
      <c r="B38" s="115" t="s">
        <v>179</v>
      </c>
      <c r="C38" s="116"/>
      <c r="D38" s="116"/>
      <c r="E38" s="116"/>
      <c r="F38" s="117"/>
      <c r="G38" s="24">
        <f>G35*'Fane 12. Nøgletal'!C23+G37*'Fane 12. Nøgletal'!C24</f>
        <v>194466.3824042943</v>
      </c>
      <c r="H38" s="14" t="s">
        <v>3</v>
      </c>
      <c r="I38" s="1"/>
    </row>
    <row r="39" spans="1:9" x14ac:dyDescent="0.25">
      <c r="A39" s="1"/>
      <c r="B39" s="58"/>
      <c r="C39" s="59"/>
      <c r="D39" s="59"/>
      <c r="E39" s="59"/>
      <c r="F39" s="59"/>
      <c r="G39" s="59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82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77</v>
      </c>
      <c r="C42" s="116"/>
      <c r="D42" s="116"/>
      <c r="E42" s="116"/>
      <c r="F42" s="117"/>
      <c r="G42" s="24">
        <f>(G35+G37-G38)*(1+'Fane 12. Nøgletal'!C14)</f>
        <v>6901208.8318541357</v>
      </c>
      <c r="H42" s="14" t="s">
        <v>3</v>
      </c>
      <c r="I42" s="1"/>
    </row>
    <row r="43" spans="1:9" x14ac:dyDescent="0.25">
      <c r="A43" s="1"/>
      <c r="B43" s="115" t="s">
        <v>96</v>
      </c>
      <c r="C43" s="116"/>
      <c r="D43" s="116"/>
      <c r="E43" s="116"/>
      <c r="F43" s="117"/>
      <c r="G43" s="9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5" t="s">
        <v>76</v>
      </c>
      <c r="C44" s="116"/>
      <c r="D44" s="116"/>
      <c r="E44" s="116"/>
      <c r="F44" s="117"/>
      <c r="G44" s="24">
        <f>(G42+G43)*'Fane 12. Nøgletal'!C24</f>
        <v>102137.89071144121</v>
      </c>
      <c r="H44" s="14" t="s">
        <v>3</v>
      </c>
      <c r="I44" s="1"/>
    </row>
    <row r="45" spans="1:9" x14ac:dyDescent="0.25">
      <c r="A45" s="1"/>
      <c r="B45" s="58"/>
      <c r="C45" s="59"/>
      <c r="D45" s="59"/>
      <c r="E45" s="59"/>
      <c r="F45" s="59"/>
      <c r="G45" s="59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12" t="s">
        <v>153</v>
      </c>
      <c r="C51" s="113"/>
      <c r="D51" s="113"/>
      <c r="E51" s="113"/>
      <c r="F51" s="113"/>
      <c r="G51" s="113"/>
      <c r="H51" s="114"/>
      <c r="I51" s="1"/>
    </row>
    <row r="52" spans="1:9" x14ac:dyDescent="0.25">
      <c r="A52" s="1"/>
      <c r="B52" s="115" t="s">
        <v>154</v>
      </c>
      <c r="C52" s="116"/>
      <c r="D52" s="116"/>
      <c r="E52" s="116"/>
      <c r="F52" s="117"/>
      <c r="G52" s="24">
        <f>(G42+G43-G44)*(1+'Fane 12. Nøgletal'!C14)</f>
        <v>6821507.8752484657</v>
      </c>
      <c r="H52" s="14" t="s">
        <v>3</v>
      </c>
      <c r="I52" s="1"/>
    </row>
    <row r="53" spans="1:9" x14ac:dyDescent="0.25">
      <c r="A53" s="1"/>
      <c r="B53" s="115" t="s">
        <v>155</v>
      </c>
      <c r="C53" s="116"/>
      <c r="D53" s="116"/>
      <c r="E53" s="116"/>
      <c r="F53" s="117"/>
      <c r="G53" s="9">
        <f>-'Fane 11. Bortfald'!E26*(1+'Fane 12. Nøgletal'!C13)</f>
        <v>0</v>
      </c>
      <c r="H53" s="14" t="s">
        <v>3</v>
      </c>
      <c r="I53" s="1"/>
    </row>
    <row r="54" spans="1:9" x14ac:dyDescent="0.25">
      <c r="A54" s="1"/>
      <c r="B54" s="115" t="s">
        <v>156</v>
      </c>
      <c r="C54" s="116"/>
      <c r="D54" s="116"/>
      <c r="E54" s="116"/>
      <c r="F54" s="117"/>
      <c r="G54" s="24">
        <f>(G52+G53)*'Fane 12. Nøgletal'!C24</f>
        <v>100958.3165536773</v>
      </c>
      <c r="H54" s="14" t="s">
        <v>3</v>
      </c>
      <c r="I54" s="1"/>
    </row>
    <row r="55" spans="1:9" x14ac:dyDescent="0.25">
      <c r="A55" s="1"/>
      <c r="B55" s="58"/>
      <c r="C55" s="59"/>
      <c r="D55" s="59"/>
      <c r="E55" s="59"/>
      <c r="F55" s="59"/>
      <c r="G55" s="59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12" t="s">
        <v>194</v>
      </c>
      <c r="C57" s="113"/>
      <c r="D57" s="113"/>
      <c r="E57" s="113"/>
      <c r="F57" s="113"/>
      <c r="G57" s="113"/>
      <c r="H57" s="114"/>
      <c r="I57" s="1"/>
    </row>
    <row r="58" spans="1:9" x14ac:dyDescent="0.25">
      <c r="A58" s="1"/>
      <c r="B58" s="115" t="s">
        <v>195</v>
      </c>
      <c r="C58" s="116"/>
      <c r="D58" s="116"/>
      <c r="E58" s="116"/>
      <c r="F58" s="117"/>
      <c r="G58" s="24">
        <f>(G52+G53-G54)*(1+'Fane 12. Nøgletal'!C14)</f>
        <v>6742727.3722384814</v>
      </c>
      <c r="H58" s="14" t="s">
        <v>3</v>
      </c>
      <c r="I58" s="1"/>
    </row>
    <row r="59" spans="1:9" x14ac:dyDescent="0.25">
      <c r="A59" s="1"/>
      <c r="B59" s="115" t="s">
        <v>196</v>
      </c>
      <c r="C59" s="116"/>
      <c r="D59" s="116"/>
      <c r="E59" s="116"/>
      <c r="F59" s="117"/>
      <c r="G59" s="24">
        <f>-'Fane 11. Bortfald'!E33*(1+'Fane 12. Nøgletal'!C14)</f>
        <v>0</v>
      </c>
      <c r="H59" s="14" t="s">
        <v>3</v>
      </c>
      <c r="I59" s="1"/>
    </row>
    <row r="60" spans="1:9" x14ac:dyDescent="0.25">
      <c r="A60" s="1"/>
      <c r="B60" s="115" t="s">
        <v>197</v>
      </c>
      <c r="C60" s="116"/>
      <c r="D60" s="116"/>
      <c r="E60" s="116"/>
      <c r="F60" s="117"/>
      <c r="G60" s="24">
        <f>(G58+G59)*'Fane 12. Nøgletal'!C24</f>
        <v>99792.365109129532</v>
      </c>
      <c r="H60" s="14" t="s">
        <v>3</v>
      </c>
      <c r="I60" s="1"/>
    </row>
    <row r="61" spans="1:9" x14ac:dyDescent="0.25">
      <c r="A61" s="1"/>
      <c r="B61" s="58"/>
      <c r="C61" s="59"/>
      <c r="D61" s="59"/>
      <c r="E61" s="59"/>
      <c r="F61" s="59"/>
      <c r="G61" s="59"/>
      <c r="H61" s="20"/>
      <c r="I61" s="1"/>
    </row>
  </sheetData>
  <sheetProtection algorithmName="SHA-512" hashValue="yi422Pie3jBrc/iJ4flE2NOnpWZprYeghEYMoYRlg7mVj4QtQ4s8/63ZCYCx+VGmyHCNAPp7+dbHqQy97mIM3g==" saltValue="gMTSSCg4rPe8kcmNEUPLig==" spinCount="100000" sheet="1" objects="1" scenarios="1"/>
  <mergeCells count="37">
    <mergeCell ref="B1:H3"/>
    <mergeCell ref="B52:F52"/>
    <mergeCell ref="B53:F53"/>
    <mergeCell ref="B54:F54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51:H51"/>
    <mergeCell ref="B28:H28"/>
    <mergeCell ref="B29:F29"/>
    <mergeCell ref="B31:F31"/>
    <mergeCell ref="B34:H34"/>
    <mergeCell ref="B22:H22"/>
    <mergeCell ref="B23:F23"/>
    <mergeCell ref="B24:F24"/>
    <mergeCell ref="B25:F25"/>
    <mergeCell ref="B57:H57"/>
    <mergeCell ref="B58:F58"/>
    <mergeCell ref="B59:F59"/>
    <mergeCell ref="B60:F60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9</v>
      </c>
      <c r="C8" s="113"/>
      <c r="D8" s="113"/>
      <c r="E8" s="113"/>
      <c r="F8" s="113"/>
      <c r="G8" s="113"/>
      <c r="H8" s="114"/>
      <c r="I8" s="1"/>
    </row>
    <row r="9" spans="1:9" x14ac:dyDescent="0.25">
      <c r="A9" s="1"/>
      <c r="B9" s="115" t="s">
        <v>105</v>
      </c>
      <c r="C9" s="116"/>
      <c r="D9" s="116"/>
      <c r="E9" s="116"/>
      <c r="F9" s="117"/>
      <c r="G9" s="44">
        <v>0.02</v>
      </c>
      <c r="H9" s="14"/>
      <c r="I9" s="1"/>
    </row>
    <row r="10" spans="1:9" x14ac:dyDescent="0.25">
      <c r="A10" s="1"/>
      <c r="B10" s="115" t="s">
        <v>141</v>
      </c>
      <c r="C10" s="116"/>
      <c r="D10" s="116"/>
      <c r="E10" s="116"/>
      <c r="F10" s="117"/>
      <c r="G10" s="44">
        <v>0</v>
      </c>
      <c r="H10" s="14"/>
      <c r="I10" s="1"/>
    </row>
    <row r="11" spans="1:9" x14ac:dyDescent="0.25">
      <c r="A11" s="1"/>
      <c r="B11" s="58"/>
      <c r="C11" s="59"/>
      <c r="D11" s="59"/>
      <c r="E11" s="59"/>
      <c r="F11" s="59"/>
      <c r="G11" s="59"/>
      <c r="H11" s="20"/>
      <c r="I11" s="1"/>
    </row>
    <row r="12" spans="1:9" ht="14.25" customHeight="1" x14ac:dyDescent="0.25">
      <c r="A12" s="1"/>
      <c r="B12" s="124" t="s">
        <v>191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bYou8xXobA8Q4YaG/l8XTch831pJuts2hhQalqagSKXhZ5Au/T7EXIRRHMtid6mLIANElwteBW3XTESiFKnKA==" saltValue="Xs66vLbec5h10BexgbM8FA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2021-10-14T14:27:52Z</dcterms:modified>
</cp:coreProperties>
</file>