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Skanderborg Vand AS (V166)\ØR2025\"/>
    </mc:Choice>
  </mc:AlternateContent>
  <xr:revisionPtr revIDLastSave="0" documentId="13_ncr:1_{C687492B-849C-4F5D-B3D3-0F86076F3269}"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ØR2024'!$C$36</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ØR2024'!$B$8:$D$36</definedName>
    <definedName name="ØR24total">'Fane 3. Omkostninger i ØR2024'!$C$36</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<sst xmlns="http://schemas.openxmlformats.org/spreadsheetml/2006/main" count="452" uniqueCount="207">
  <si>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</si>
  <si>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</si>
  <si>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</si>
  <si>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</si>
  <si>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</si>
  <si>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</si>
  <si>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</si>
  <si>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</si>
  <si>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</si>
  <si>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</si>
  <si>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</si>
  <si>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</si>
  <si>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</si>
  <si>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</si>
  <si>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</si>
  <si>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</si>
  <si>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</si>
  <si>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</si>
  <si>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</si>
  <si>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</si>
  <si>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</si>
  <si>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</si>
  <si>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</si>
  <si>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</si>
  <si>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</si>
  <si>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</si>
  <si>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</si>
  <si>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</si>
  <si>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</si>
  <si>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</si>
  <si>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</si>
  <si>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</si>
  <si>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</si>
  <si>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</si>
  <si>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</si>
  <si>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</si>
  <si>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</si>
  <si>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</si>
  <si>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</si>
  <si>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</si>
  <si>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</si>
  <si>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</si>
  <si>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</si>
  <si>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</si>
  <si>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</si>
  <si>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</si>
  <si>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</si>
  <si>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</si>
  <si>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</si>
  <si>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</si>
  <si>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</si>
  <si>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</si>
  <si>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</si>
  <si>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</si>
  <si>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</si>
  <si>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</si>
  <si>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</si>
  <si>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</si>
  <si>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</si>
  <si>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</si>
  <si>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</si>
  <si>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</si>
  <si>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</si>
  <si>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</si>
  <si>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</si>
  <si>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</si>
  <si>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</si>
  <si>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</si>
  <si>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</si>
  <si>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</si>
  <si>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</si>
  <si>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</si>
  <si>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</si>
  <si>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</si>
  <si>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</si>
  <si>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</si>
  <si>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</si>
  <si>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</si>
  <si>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</si>
  <si>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</si>
  <si>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</si>
  <si>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</si>
  <si>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</si>
  <si>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</si>
  <si>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</si>
  <si>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</si>
  <si>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</si>
  <si>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</si>
  <si>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</si>
  <si>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</si>
  <si>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</si>
  <si>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</si>
  <si>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</si>
  <si>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</si>
  <si>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</si>
  <si>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</si>
  <si>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</si>
  <si>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</si>
  <si>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</si>
  <si>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</si>
  <si>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</si>
  <si>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</si>
  <si>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</si>
  <si>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</si>
  <si>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</si>
  <si>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</si>
  <si>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</si>
  <si>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</si>
  <si>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</si>
  <si>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</si>
  <si>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</si>
  <si>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</si>
  <si>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</si>
  <si>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</si>
  <si>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</si>
  <si>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</si>
  <si>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</si>
  <si>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</si>
  <si>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</si>
  <si>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</si>
  <si>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</si>
  <si>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</si>
  <si>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</si>
  <si>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</si>
  <si>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</si>
  <si>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</si>
  <si>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</si>
  <si>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</si>
  <si>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</si>
  <si>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</si>
  <si>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</si>
  <si>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</si>
  <si>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</si>
  <si>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</si>
  <si>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</si>
  <si>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</si>
  <si>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</si>
  <si>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</si>
  <si>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</si>
  <si>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</si>
  <si>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</si>
  <si>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</si>
  <si>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</si>
  <si>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</si>
  <si>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</si>
  <si>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</si>
  <si>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</si>
  <si>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</si>
  <si>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</si>
  <si>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</si>
  <si>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</si>
  <si>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</si>
  <si>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</si>
  <si>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</si>
  <si>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</si>
  <si>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</si>
  <si>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</si>
  <si>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</si>
  <si>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</si>
  <si>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</si>
  <si>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</si>
  <si>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</si>
  <si>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</si>
  <si>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</si>
  <si>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</si>
  <si>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</si>
  <si>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</si>
  <si>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</si>
  <si>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</si>
  <si>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</si>
  <si>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</si>
  <si>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</si>
  <si>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</si>
  <si>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</si>
  <si>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</si>
  <si>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</si>
  <si>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</si>
  <si>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</si>
  <si>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</si>
  <si>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</si>
  <si>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</si>
  <si>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</si>
  <si>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</si>
  <si>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</si>
  <si>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</si>
  <si>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</si>
  <si>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</si>
  <si>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</si>
  <si>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</si>
  <si>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</si>
  <si>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</si>
  <si>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</si>
  <si>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</si>
  <si>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Justering af den økonomiske ramme</t>
  </si>
  <si>
    <t>Justering af den økonomiske ramme for stigende el-omkostninger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</si>
  <si>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</si>
  <si>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</si>
  <si>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</si>
  <si>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</si>
  <si>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</si>
  <si>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</si>
  <si>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</si>
  <si>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Tjenestemandspensioner</t>
  </si>
  <si>
    <t>Vandsamarbejde etableret i medfør af §48 i vandforsyningsloven</t>
  </si>
  <si>
    <t xml:space="preserve">Vandtab/ sektionering og Forsyningssikkerhed </t>
  </si>
  <si>
    <t>Byggemodninger</t>
  </si>
  <si>
    <t>Udledningstilladelser for filterskyllevand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</si>
</sst>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65" fontId="8" fillId="4" borderId="1" xfId="1" applyNumberFormat="1" applyFont="1" applyFill="1" applyBorder="1" applyProtection="1"/>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1"/>
    </row>
    <row r="7" spans="1:7" ht="15" customHeight="1" x14ac:dyDescent="0.25">
      <c r="A7" s="1"/>
      <c r="B7" s="3"/>
      <c r="C7" s="79"/>
      <c r="D7" s="79"/>
      <c r="E7" s="79"/>
      <c r="F7" s="79"/>
      <c r="G7" s="1"/>
    </row>
    <row r="8" spans="1:7" ht="15.75" x14ac:dyDescent="0.25">
      <c r="A8" s="1"/>
      <c r="B8" s="4"/>
      <c r="C8" s="84" t="s">
        <v>198</v>
      </c>
      <c r="D8" s="84"/>
      <c r="E8" s="84"/>
      <c r="F8" s="84"/>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3" t="s">
        <v>5</v>
      </c>
      <c r="D11" s="83"/>
      <c r="E11" s="83"/>
      <c r="F11" s="83"/>
      <c r="G11" s="1"/>
    </row>
    <row r="12" spans="1:7" x14ac:dyDescent="0.25">
      <c r="A12" s="1"/>
      <c r="B12" s="1"/>
      <c r="C12" s="1"/>
      <c r="D12" s="1"/>
      <c r="E12" s="1"/>
      <c r="F12" s="1"/>
      <c r="G12" s="1"/>
    </row>
    <row r="13" spans="1:7" x14ac:dyDescent="0.25">
      <c r="A13" s="1"/>
      <c r="B13" s="6" t="s">
        <v>6</v>
      </c>
      <c r="C13" s="76" t="s">
        <v>124</v>
      </c>
      <c r="D13" s="77"/>
      <c r="E13" s="77"/>
      <c r="F13" s="78"/>
      <c r="G13" s="1"/>
    </row>
    <row r="14" spans="1:7" x14ac:dyDescent="0.25">
      <c r="A14" s="1"/>
      <c r="B14" s="6" t="s">
        <v>14</v>
      </c>
      <c r="C14" s="76" t="s">
        <v>159</v>
      </c>
      <c r="D14" s="77"/>
      <c r="E14" s="77"/>
      <c r="F14" s="78"/>
      <c r="G14" s="1"/>
    </row>
    <row r="15" spans="1:7" x14ac:dyDescent="0.25">
      <c r="A15" s="1"/>
      <c r="B15" s="6" t="s">
        <v>29</v>
      </c>
      <c r="C15" s="76" t="s">
        <v>107</v>
      </c>
      <c r="D15" s="77"/>
      <c r="E15" s="77"/>
      <c r="F15" s="78"/>
      <c r="G15" s="1"/>
    </row>
    <row r="16" spans="1:7" x14ac:dyDescent="0.25">
      <c r="A16" s="1"/>
      <c r="B16" s="6" t="s">
        <v>30</v>
      </c>
      <c r="C16" s="76" t="s">
        <v>125</v>
      </c>
      <c r="D16" s="77"/>
      <c r="E16" s="77"/>
      <c r="F16" s="78"/>
      <c r="G16" s="1"/>
    </row>
    <row r="17" spans="1:7" x14ac:dyDescent="0.25">
      <c r="A17" s="1"/>
      <c r="B17" s="6" t="s">
        <v>57</v>
      </c>
      <c r="C17" s="76" t="s">
        <v>126</v>
      </c>
      <c r="D17" s="77"/>
      <c r="E17" s="77"/>
      <c r="F17" s="78"/>
      <c r="G17" s="1"/>
    </row>
    <row r="18" spans="1:7" x14ac:dyDescent="0.25">
      <c r="A18" s="1"/>
      <c r="B18" s="6" t="s">
        <v>49</v>
      </c>
      <c r="C18" s="85" t="s">
        <v>42</v>
      </c>
      <c r="D18" s="86"/>
      <c r="E18" s="86"/>
      <c r="F18" s="87"/>
      <c r="G18" s="1"/>
    </row>
    <row r="19" spans="1:7" x14ac:dyDescent="0.25">
      <c r="A19" s="1"/>
      <c r="B19" s="6" t="s">
        <v>50</v>
      </c>
      <c r="C19" s="85" t="s">
        <v>43</v>
      </c>
      <c r="D19" s="86"/>
      <c r="E19" s="86"/>
      <c r="F19" s="87"/>
      <c r="G19" s="1"/>
    </row>
    <row r="20" spans="1:7" x14ac:dyDescent="0.25">
      <c r="A20" s="1"/>
      <c r="B20" s="6" t="s">
        <v>7</v>
      </c>
      <c r="C20" s="85" t="s">
        <v>9</v>
      </c>
      <c r="D20" s="86"/>
      <c r="E20" s="86"/>
      <c r="F20" s="87"/>
      <c r="G20" s="1"/>
    </row>
    <row r="21" spans="1:7" x14ac:dyDescent="0.25">
      <c r="A21" s="1"/>
      <c r="B21" s="6" t="s">
        <v>51</v>
      </c>
      <c r="C21" s="91" t="s">
        <v>11</v>
      </c>
      <c r="D21" s="92"/>
      <c r="E21" s="92"/>
      <c r="F21" s="93"/>
      <c r="G21" s="1"/>
    </row>
    <row r="22" spans="1:7" x14ac:dyDescent="0.25">
      <c r="A22" s="1"/>
      <c r="B22" s="6" t="s">
        <v>37</v>
      </c>
      <c r="C22" s="80" t="s">
        <v>127</v>
      </c>
      <c r="D22" s="81"/>
      <c r="E22" s="81"/>
      <c r="F22" s="82"/>
      <c r="G22" s="1"/>
    </row>
    <row r="23" spans="1:7" x14ac:dyDescent="0.25">
      <c r="A23" s="1"/>
      <c r="B23" s="6" t="s">
        <v>8</v>
      </c>
      <c r="C23" s="80" t="s">
        <v>89</v>
      </c>
      <c r="D23" s="81"/>
      <c r="E23" s="81"/>
      <c r="F23" s="82"/>
      <c r="G23" s="1"/>
    </row>
    <row r="24" spans="1:7" x14ac:dyDescent="0.25">
      <c r="A24" s="1"/>
      <c r="B24" s="6" t="s">
        <v>85</v>
      </c>
      <c r="C24" s="80" t="s">
        <v>78</v>
      </c>
      <c r="D24" s="81"/>
      <c r="E24" s="81"/>
      <c r="F24" s="82"/>
      <c r="G24" s="1"/>
    </row>
    <row r="25" spans="1:7" x14ac:dyDescent="0.25">
      <c r="A25" s="1"/>
      <c r="B25" s="6" t="s">
        <v>86</v>
      </c>
      <c r="C25" s="80" t="s">
        <v>38</v>
      </c>
      <c r="D25" s="81"/>
      <c r="E25" s="81"/>
      <c r="F25" s="82"/>
      <c r="G25" s="1"/>
    </row>
    <row r="26" spans="1:7" x14ac:dyDescent="0.25">
      <c r="A26" s="1"/>
      <c r="B26" s="6" t="s">
        <v>87</v>
      </c>
      <c r="C26" s="80" t="s">
        <v>39</v>
      </c>
      <c r="D26" s="81"/>
      <c r="E26" s="81"/>
      <c r="F26" s="82"/>
      <c r="G26" s="1"/>
    </row>
    <row r="27" spans="1:7" x14ac:dyDescent="0.25">
      <c r="A27" s="1"/>
      <c r="B27" s="6" t="s">
        <v>52</v>
      </c>
      <c r="C27" s="80" t="s">
        <v>58</v>
      </c>
      <c r="D27" s="81"/>
      <c r="E27" s="81"/>
      <c r="F27" s="82"/>
      <c r="G27" s="1"/>
    </row>
    <row r="28" spans="1:7" x14ac:dyDescent="0.25">
      <c r="A28" s="1"/>
      <c r="B28" s="6" t="s">
        <v>46</v>
      </c>
      <c r="C28" s="80" t="s">
        <v>31</v>
      </c>
      <c r="D28" s="81"/>
      <c r="E28" s="81"/>
      <c r="F28" s="82"/>
      <c r="G28" s="1"/>
    </row>
    <row r="29" spans="1:7" x14ac:dyDescent="0.25">
      <c r="A29" s="1"/>
      <c r="B29" s="6" t="s">
        <v>88</v>
      </c>
      <c r="C29" s="88" t="s">
        <v>47</v>
      </c>
      <c r="D29" s="89"/>
      <c r="E29" s="89"/>
      <c r="F29" s="9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8NZWPG1VwAkcgH/UdC2WZWCLKsKSu8B8hS379fQPwSmJjGOtxLjq3OkMvB5pCcrn/00nzooyz/2edapbKRWNjg==" saltValue="9VDI067I380VtLbhBNQlug=="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15889784.623289147</v>
      </c>
      <c r="D9" s="8" t="s">
        <v>3</v>
      </c>
      <c r="E9" s="1"/>
    </row>
    <row r="10" spans="1:5" ht="17.100000000000001" customHeight="1" x14ac:dyDescent="0.25">
      <c r="A10" s="1"/>
      <c r="B10" s="24" t="s">
        <v>32</v>
      </c>
      <c r="C10" s="7">
        <f>'Fane 10.1. Varige tillæg'!C18</f>
        <v>187376.63380000001</v>
      </c>
      <c r="D10" s="8" t="s">
        <v>3</v>
      </c>
      <c r="E10" s="1"/>
    </row>
    <row r="11" spans="1:5" ht="17.100000000000001" customHeight="1" x14ac:dyDescent="0.25">
      <c r="A11" s="1"/>
      <c r="B11" s="24" t="s">
        <v>33</v>
      </c>
      <c r="C11" s="9">
        <f>'Fane 10.1. Varige tillæg'!E18</f>
        <v>457919.33610000001</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1096275.8433284406</v>
      </c>
      <c r="D16" s="8" t="s">
        <v>3</v>
      </c>
      <c r="E16" s="1"/>
    </row>
    <row r="17" spans="1:5" ht="17.100000000000001" customHeight="1" x14ac:dyDescent="0.25">
      <c r="A17" s="1"/>
      <c r="B17" s="24" t="s">
        <v>9</v>
      </c>
      <c r="C17" s="9">
        <f>-SUM(C9:C16)*'Fane 5. Individuelt eff. krav'!C9</f>
        <v>-123124.7072784402</v>
      </c>
      <c r="D17" s="8" t="s">
        <v>3</v>
      </c>
      <c r="E17" s="1"/>
    </row>
    <row r="18" spans="1:5" ht="17.100000000000001" customHeight="1" x14ac:dyDescent="0.25">
      <c r="A18" s="1"/>
      <c r="B18" s="24" t="s">
        <v>21</v>
      </c>
      <c r="C18" s="9">
        <f>-'Fane 4.1. Gen. krav - drift'!C17</f>
        <v>-169707.19720441807</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17338524.532034729</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8973836.2649543397</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19388.050505880001</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-523.15320480387459</v>
      </c>
      <c r="D26" s="8" t="s">
        <v>3</v>
      </c>
      <c r="E26" s="1"/>
    </row>
    <row r="27" spans="1:5" ht="15" customHeight="1" x14ac:dyDescent="0.25">
      <c r="A27" s="1"/>
      <c r="B27" s="24" t="s">
        <v>80</v>
      </c>
      <c r="C27" s="9">
        <f>-C25*('Fane 13. Nøgletal'!C18+'Fane 5. Individuelt eff. krav'!C9)</f>
        <v>0</v>
      </c>
      <c r="D27" s="8" t="s">
        <v>3</v>
      </c>
      <c r="E27" s="1"/>
    </row>
    <row r="28" spans="1:5" x14ac:dyDescent="0.25">
      <c r="A28" s="1"/>
      <c r="B28" s="74" t="s">
        <v>40</v>
      </c>
      <c r="C28" s="50">
        <f>SUM(C24:C27)</f>
        <v>18864.897301076126</v>
      </c>
      <c r="D28" s="11" t="s">
        <v>3</v>
      </c>
      <c r="E28" s="1"/>
    </row>
    <row r="29" spans="1:5" ht="15" customHeight="1" x14ac:dyDescent="0.25">
      <c r="A29" s="1"/>
      <c r="B29" s="25" t="s">
        <v>65</v>
      </c>
      <c r="C29" s="53"/>
      <c r="D29" s="19"/>
      <c r="E29" s="1"/>
    </row>
    <row r="30" spans="1:5" x14ac:dyDescent="0.25">
      <c r="A30" s="1"/>
      <c r="B30" s="58" t="s">
        <v>66</v>
      </c>
      <c r="C30" s="10">
        <f>'Fane 7. Kontrol af ØR2023'!C30</f>
        <v>-712627.47187404148</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25618598.222416103</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A7nPC8LWSNmv77Vf/7Dtngk75MWicehe2IoauQz4UmJmIJmMa8jvhsxA0pKQzXoPRoSMjj1n4kGg7lkzKV4Ojg==" saltValue="dKjmtvNyMl4/fzU//fwQv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17338524.532034729</v>
      </c>
      <c r="D9" s="8" t="s">
        <v>3</v>
      </c>
      <c r="E9" s="1"/>
    </row>
    <row r="10" spans="1:5" ht="15" customHeight="1" x14ac:dyDescent="0.25">
      <c r="A10" s="1"/>
      <c r="B10" s="47" t="s">
        <v>17</v>
      </c>
      <c r="C10" s="41">
        <f>C9*'Fane 13. Nøgletal'!C11</f>
        <v>1149544.1764739025</v>
      </c>
      <c r="D10" s="8" t="s">
        <v>3</v>
      </c>
      <c r="E10" s="1"/>
    </row>
    <row r="11" spans="1:5" ht="15" customHeight="1" x14ac:dyDescent="0.25">
      <c r="A11" s="1"/>
      <c r="B11" s="47" t="s">
        <v>9</v>
      </c>
      <c r="C11" s="9">
        <f>-SUM(C9:C10)*'Fane 5. Individuelt eff. krav'!C9</f>
        <v>-129107.36936632542</v>
      </c>
      <c r="D11" s="8" t="s">
        <v>3</v>
      </c>
      <c r="E11" s="1"/>
    </row>
    <row r="12" spans="1:5" ht="15" customHeight="1" x14ac:dyDescent="0.25">
      <c r="A12" s="1"/>
      <c r="B12" s="47" t="s">
        <v>21</v>
      </c>
      <c r="C12" s="9">
        <f>-'Fane 4.1. Gen. krav - drift'!C22</f>
        <v>-177339.60869148956</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18181621.730450816</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9568801.6093208119</v>
      </c>
      <c r="D16" s="11" t="s">
        <v>3</v>
      </c>
      <c r="E16" s="1"/>
    </row>
    <row r="17" spans="1:5" x14ac:dyDescent="0.25">
      <c r="A17" s="1"/>
      <c r="B17" s="25" t="s">
        <v>65</v>
      </c>
      <c r="C17" s="53"/>
      <c r="D17" s="19"/>
      <c r="E17" s="1"/>
    </row>
    <row r="18" spans="1:5" ht="15" customHeight="1" x14ac:dyDescent="0.25">
      <c r="A18" s="1"/>
      <c r="B18" s="45" t="s">
        <v>66</v>
      </c>
      <c r="C18" s="10">
        <f>'Fane 7. Kontrol af ØR2023'!C30</f>
        <v>-712627.47187404148</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27037795.867897585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ofqE9+Mmy67lX7f9TyYkuPyCoqf/bRVsWovZSTmHY1M2fX1MSFlPGhkpgkX8Ut1sFPVETZh356/KYHUMO5Jm+Q==" saltValue="Ul/71KSP/eId7dJ/maLcs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18181621.730450816</v>
      </c>
      <c r="D9" s="8" t="s">
        <v>3</v>
      </c>
      <c r="E9" s="1"/>
    </row>
    <row r="10" spans="1:5" ht="15" customHeight="1" x14ac:dyDescent="0.25">
      <c r="A10" s="1"/>
      <c r="B10" s="47" t="s">
        <v>17</v>
      </c>
      <c r="C10" s="41">
        <f>C9*'Fane 13. Nøgletal'!C11</f>
        <v>1205441.5207288892</v>
      </c>
      <c r="D10" s="8" t="s">
        <v>3</v>
      </c>
      <c r="E10" s="1"/>
    </row>
    <row r="11" spans="1:5" ht="15" customHeight="1" x14ac:dyDescent="0.25">
      <c r="A11" s="1"/>
      <c r="B11" s="47" t="s">
        <v>9</v>
      </c>
      <c r="C11" s="9">
        <f>-SUM(C9:C10)*'Fane 5. Individuelt eff. krav'!C9</f>
        <v>-135385.30040979502</v>
      </c>
      <c r="D11" s="8" t="s">
        <v>3</v>
      </c>
      <c r="E11" s="1"/>
    </row>
    <row r="12" spans="1:5" ht="15" customHeight="1" x14ac:dyDescent="0.25">
      <c r="A12" s="1"/>
      <c r="B12" s="47" t="s">
        <v>21</v>
      </c>
      <c r="C12" s="9">
        <f>-'Fane 4.1. Gen. krav - drift'!C27</f>
        <v>-185315.28025278062</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19066362.670517132</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10203213.156018782</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29269575.826535914</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axyCsPBKBtAe/unVMttslHB50xnV5lc2ltBMhUQSTmq9WRDMyt5+KkBBvRFq7G6A4l7v4YrqfFhj/yF411gy2Q==" saltValue="v0te5bWm6WZ9m6uIyQ0l3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19066362.670517132</v>
      </c>
      <c r="D9" s="8" t="s">
        <v>3</v>
      </c>
      <c r="E9" s="1"/>
    </row>
    <row r="10" spans="1:5" ht="15" customHeight="1" x14ac:dyDescent="0.25">
      <c r="A10" s="1"/>
      <c r="B10" s="47" t="s">
        <v>17</v>
      </c>
      <c r="C10" s="9">
        <f>C9*'Fane 13. Nøgletal'!C11</f>
        <v>1264099.8450552858</v>
      </c>
      <c r="D10" s="8" t="s">
        <v>3</v>
      </c>
      <c r="E10" s="1"/>
    </row>
    <row r="11" spans="1:5" ht="15" customHeight="1" x14ac:dyDescent="0.25">
      <c r="A11" s="1"/>
      <c r="B11" s="47" t="s">
        <v>9</v>
      </c>
      <c r="C11" s="9">
        <f>-SUM(C9:C10)*'Fane 5. Individuelt eff. krav'!C9</f>
        <v>-141973.32207978232</v>
      </c>
      <c r="D11" s="8" t="s">
        <v>3</v>
      </c>
      <c r="E11" s="1"/>
    </row>
    <row r="12" spans="1:5" ht="15" customHeight="1" x14ac:dyDescent="0.25">
      <c r="A12" s="1"/>
      <c r="B12" s="47" t="s">
        <v>21</v>
      </c>
      <c r="C12" s="9">
        <f>-'Fane 4.1. Gen. krav - drift'!C32</f>
        <v>-193649.64966686917</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19994839.543825768</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10879686.188262828</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30874525.732088596</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iSqUTrWTtCHgRYgwaLyyLOTkP8eopuBUEcEnr7SCBgJhtYZWCCsPkX9IcFzk6N3hrxaaF5X/ArF1XG0v+Nypw==" saltValue="ThaauM0SwX0dw9tUCAnfl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2"/>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6" t="s">
        <v>134</v>
      </c>
      <c r="C3" s="96"/>
      <c r="D3" s="96"/>
      <c r="E3" s="1"/>
    </row>
    <row r="4" spans="1:5" ht="15" customHeight="1" x14ac:dyDescent="0.25">
      <c r="A4" s="1"/>
      <c r="B4" s="96"/>
      <c r="C4" s="96"/>
      <c r="D4" s="96"/>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15002857.075795462</v>
      </c>
      <c r="D9" s="8" t="s">
        <v>3</v>
      </c>
      <c r="E9" s="1"/>
    </row>
    <row r="10" spans="1:5" x14ac:dyDescent="0.25">
      <c r="A10" s="1"/>
      <c r="B10" s="24" t="s">
        <v>32</v>
      </c>
      <c r="C10" s="7">
        <v>52967.846400000002</v>
      </c>
      <c r="D10" s="8" t="s">
        <v>3</v>
      </c>
      <c r="E10" s="1"/>
    </row>
    <row r="11" spans="1:5" ht="15" customHeight="1" x14ac:dyDescent="0.25">
      <c r="A11" s="1"/>
      <c r="B11" s="24" t="s">
        <v>33</v>
      </c>
      <c r="C11" s="9">
        <v>595793.16159999999</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586521.60134471848</v>
      </c>
      <c r="D16" s="8" t="s">
        <v>3</v>
      </c>
      <c r="E16" s="1"/>
    </row>
    <row r="17" spans="1:5" x14ac:dyDescent="0.25">
      <c r="A17" s="1"/>
      <c r="B17" s="24" t="s">
        <v>9</v>
      </c>
      <c r="C17" s="9">
        <v>-189775.80235558277</v>
      </c>
      <c r="D17" s="8" t="s">
        <v>3</v>
      </c>
      <c r="E17" s="1"/>
    </row>
    <row r="18" spans="1:5" x14ac:dyDescent="0.25">
      <c r="A18" s="1"/>
      <c r="B18" s="24" t="s">
        <v>21</v>
      </c>
      <c r="C18" s="9">
        <v>-158579.25949545088</v>
      </c>
      <c r="D18" s="8" t="s">
        <v>3</v>
      </c>
      <c r="E18" s="1"/>
    </row>
    <row r="19" spans="1:5" x14ac:dyDescent="0.25">
      <c r="A19" s="1"/>
      <c r="B19" s="24" t="s">
        <v>22</v>
      </c>
      <c r="C19" s="9">
        <v>0</v>
      </c>
      <c r="D19" s="8" t="s">
        <v>3</v>
      </c>
      <c r="E19" s="1"/>
    </row>
    <row r="20" spans="1:5" x14ac:dyDescent="0.25">
      <c r="A20" s="1"/>
      <c r="B20" s="74" t="s">
        <v>19</v>
      </c>
      <c r="C20" s="10">
        <v>15889784.623289147</v>
      </c>
      <c r="D20" s="11" t="s">
        <v>3</v>
      </c>
      <c r="E20" s="1"/>
    </row>
    <row r="21" spans="1:5" x14ac:dyDescent="0.25">
      <c r="A21" s="1"/>
      <c r="B21" s="52" t="s">
        <v>11</v>
      </c>
      <c r="C21" s="53"/>
      <c r="D21" s="19"/>
      <c r="E21" s="1"/>
    </row>
    <row r="22" spans="1:5" x14ac:dyDescent="0.25">
      <c r="A22" s="1"/>
      <c r="B22" s="54" t="s">
        <v>11</v>
      </c>
      <c r="C22" s="10">
        <v>9569914.9095155187</v>
      </c>
      <c r="D22" s="11" t="s">
        <v>3</v>
      </c>
      <c r="E22" s="1"/>
    </row>
    <row r="23" spans="1:5" x14ac:dyDescent="0.25">
      <c r="A23" s="1"/>
      <c r="B23" s="52" t="s">
        <v>39</v>
      </c>
      <c r="C23" s="53"/>
      <c r="D23" s="19"/>
      <c r="E23" s="1"/>
    </row>
    <row r="24" spans="1:5" ht="15" customHeight="1" x14ac:dyDescent="0.25">
      <c r="A24" s="1"/>
      <c r="B24" s="24" t="s">
        <v>35</v>
      </c>
      <c r="C24" s="9">
        <v>20771.66347648</v>
      </c>
      <c r="D24" s="8" t="s">
        <v>3</v>
      </c>
      <c r="E24" s="1"/>
    </row>
    <row r="25" spans="1:5" ht="14.25" customHeight="1" x14ac:dyDescent="0.25">
      <c r="A25" s="1"/>
      <c r="B25" s="24" t="s">
        <v>36</v>
      </c>
      <c r="C25" s="9">
        <v>0</v>
      </c>
      <c r="D25" s="8" t="s">
        <v>3</v>
      </c>
      <c r="E25" s="1"/>
    </row>
    <row r="26" spans="1:5" ht="14.25" customHeight="1" x14ac:dyDescent="0.25">
      <c r="A26" s="1"/>
      <c r="B26" s="24" t="s">
        <v>79</v>
      </c>
      <c r="C26" s="9">
        <v>-658.19254977624712</v>
      </c>
      <c r="D26" s="8" t="s">
        <v>3</v>
      </c>
      <c r="E26" s="1"/>
    </row>
    <row r="27" spans="1:5" ht="14.25" customHeight="1" x14ac:dyDescent="0.25">
      <c r="A27" s="1"/>
      <c r="B27" s="24" t="s">
        <v>80</v>
      </c>
      <c r="C27" s="9">
        <v>0</v>
      </c>
      <c r="D27" s="8" t="s">
        <v>3</v>
      </c>
      <c r="E27" s="1"/>
    </row>
    <row r="28" spans="1:5" ht="14.25" customHeight="1" x14ac:dyDescent="0.25">
      <c r="A28" s="1"/>
      <c r="B28" s="74" t="s">
        <v>40</v>
      </c>
      <c r="C28" s="63">
        <v>20113.470926703754</v>
      </c>
      <c r="D28" s="11" t="s">
        <v>3</v>
      </c>
      <c r="E28" s="1"/>
    </row>
    <row r="29" spans="1:5" x14ac:dyDescent="0.25">
      <c r="A29" s="1"/>
      <c r="B29" s="25" t="s">
        <v>65</v>
      </c>
      <c r="C29" s="53"/>
      <c r="D29" s="19"/>
      <c r="E29" s="1"/>
    </row>
    <row r="30" spans="1:5" x14ac:dyDescent="0.25">
      <c r="A30" s="1"/>
      <c r="B30" s="58" t="s">
        <v>66</v>
      </c>
      <c r="C30" s="10">
        <v>-731451</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25" t="s">
        <v>193</v>
      </c>
      <c r="C33" s="53"/>
      <c r="D33" s="19"/>
      <c r="E33" s="1"/>
    </row>
    <row r="34" spans="1:5" ht="15.6" customHeight="1" x14ac:dyDescent="0.25">
      <c r="A34" s="1"/>
      <c r="B34" s="58" t="s">
        <v>194</v>
      </c>
      <c r="C34" s="10">
        <v>562457.23834110354</v>
      </c>
      <c r="D34" s="11" t="s">
        <v>3</v>
      </c>
      <c r="E34" s="1"/>
    </row>
    <row r="35" spans="1:5" ht="15.6" customHeight="1" x14ac:dyDescent="0.25">
      <c r="A35" s="1"/>
      <c r="B35" s="52" t="s">
        <v>67</v>
      </c>
      <c r="C35" s="29">
        <v>25310819.242072474</v>
      </c>
      <c r="D35" s="19" t="s">
        <v>3</v>
      </c>
      <c r="E35" s="1"/>
    </row>
    <row r="36" spans="1:5" ht="30" customHeight="1" x14ac:dyDescent="0.25">
      <c r="A36" s="1"/>
      <c r="B36" s="97" t="s">
        <v>195</v>
      </c>
      <c r="C36" s="97"/>
      <c r="D36" s="97"/>
      <c r="E36" s="1"/>
    </row>
    <row r="37" spans="1:5" ht="27.75" customHeight="1"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row r="51" spans="1:5" hidden="1" x14ac:dyDescent="0.25"/>
    <row r="52" spans="1:5" hidden="1" x14ac:dyDescent="0.25"/>
  </sheetData>
  <sheetProtection algorithmName="SHA-512" hashValue="b9I1jyfzm1SUhC/zWlkcop27TnaQ4mtkjfVP+jmu5SmgqgiCR2CAUctUEGS/OPRIA2GcPLMP5PGfqQvvk++Pww==" saltValue="x4b/PD2Jwa45s3mVhl+quw==" spinCount="100000" sheet="1" objects="1" scenarios="1"/>
  <mergeCells count="2">
    <mergeCell ref="B3:D4"/>
    <mergeCell ref="B36:D36"/>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6" t="s">
        <v>53</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32"/>
      <c r="D7" s="1"/>
      <c r="E7" s="1"/>
    </row>
    <row r="8" spans="1:5" x14ac:dyDescent="0.25">
      <c r="A8" s="1"/>
      <c r="B8" s="98" t="s">
        <v>75</v>
      </c>
      <c r="C8" s="99"/>
      <c r="D8" s="100"/>
      <c r="E8" s="1"/>
    </row>
    <row r="9" spans="1:5" x14ac:dyDescent="0.25">
      <c r="A9" s="1"/>
      <c r="B9" s="56" t="s">
        <v>167</v>
      </c>
      <c r="C9" s="22">
        <v>7871715.326383424</v>
      </c>
      <c r="D9" s="14" t="s">
        <v>3</v>
      </c>
      <c r="E9" s="1"/>
    </row>
    <row r="10" spans="1:5" x14ac:dyDescent="0.25">
      <c r="A10" s="1"/>
      <c r="B10" s="56" t="s">
        <v>110</v>
      </c>
      <c r="C10" s="22">
        <f>('Fane 3. Omkostninger i ØR2024'!C10+'Fane 3. Omkostninger i ØR2024'!C12+'Fane 3. Omkostninger i ØR2024'!C14)*(1+'Fane 13. Nøgletal'!C10)</f>
        <v>57247.648389120004</v>
      </c>
      <c r="D10" s="14" t="s">
        <v>3</v>
      </c>
      <c r="E10" s="1"/>
    </row>
    <row r="11" spans="1:5" x14ac:dyDescent="0.25">
      <c r="A11" s="1"/>
      <c r="B11" s="56" t="s">
        <v>81</v>
      </c>
      <c r="C11" s="22">
        <f>C9*'Fane 13. Nøgletal'!C23+C10*'Fane 13. Nøgletal'!C23</f>
        <v>158579.25949545088</v>
      </c>
      <c r="D11" s="14" t="s">
        <v>3</v>
      </c>
      <c r="E11" s="1"/>
    </row>
    <row r="12" spans="1:5" x14ac:dyDescent="0.25">
      <c r="A12" s="1"/>
      <c r="B12" s="52"/>
      <c r="C12" s="31"/>
      <c r="D12" s="19"/>
      <c r="E12" s="1"/>
    </row>
    <row r="13" spans="1:5" x14ac:dyDescent="0.25">
      <c r="A13" s="1"/>
      <c r="B13" s="1"/>
      <c r="C13" s="32"/>
      <c r="D13" s="1"/>
      <c r="E13" s="1"/>
    </row>
    <row r="14" spans="1:5" x14ac:dyDescent="0.25">
      <c r="A14" s="1"/>
      <c r="B14" s="98" t="s">
        <v>153</v>
      </c>
      <c r="C14" s="99"/>
      <c r="D14" s="100"/>
      <c r="E14" s="1"/>
    </row>
    <row r="15" spans="1:5" x14ac:dyDescent="0.25">
      <c r="A15" s="1"/>
      <c r="B15" s="56" t="s">
        <v>168</v>
      </c>
      <c r="C15" s="22">
        <f>(C9+C10-C11)*(1+'Fane 13. Nøgletal'!C11)</f>
        <v>8285560.1555999639</v>
      </c>
      <c r="D15" s="14" t="s">
        <v>3</v>
      </c>
      <c r="E15" s="1"/>
    </row>
    <row r="16" spans="1:5" x14ac:dyDescent="0.25">
      <c r="A16" s="1"/>
      <c r="B16" s="56" t="s">
        <v>154</v>
      </c>
      <c r="C16" s="22">
        <f>('Fane 2.1. Økonomisk ramme 2025'!C10+'Fane 2.1. Økonomisk ramme 2025'!C12+'Fane 2.1. Økonomisk ramme 2025'!C14)*(1+'Fane 13. Nøgletal'!C11)</f>
        <v>199799.70462094003</v>
      </c>
      <c r="D16" s="14" t="s">
        <v>3</v>
      </c>
      <c r="E16" s="1"/>
    </row>
    <row r="17" spans="1:5" x14ac:dyDescent="0.25">
      <c r="A17" s="1"/>
      <c r="B17" s="56" t="s">
        <v>155</v>
      </c>
      <c r="C17" s="22">
        <f>(C15+C16)*'Fane 13. Nøgletal'!C23</f>
        <v>169707.19720441807</v>
      </c>
      <c r="D17" s="14" t="s">
        <v>3</v>
      </c>
      <c r="E17" s="1"/>
    </row>
    <row r="18" spans="1:5" x14ac:dyDescent="0.25">
      <c r="A18" s="1"/>
      <c r="B18" s="52"/>
      <c r="C18" s="31"/>
      <c r="D18" s="19"/>
      <c r="E18" s="1"/>
    </row>
    <row r="19" spans="1:5" x14ac:dyDescent="0.25">
      <c r="A19" s="1"/>
      <c r="B19" s="1"/>
      <c r="C19" s="32"/>
      <c r="D19" s="1"/>
      <c r="E19" s="1"/>
    </row>
    <row r="20" spans="1:5" x14ac:dyDescent="0.25">
      <c r="A20" s="1"/>
      <c r="B20" s="98" t="s">
        <v>170</v>
      </c>
      <c r="C20" s="99"/>
      <c r="D20" s="100"/>
      <c r="E20" s="1"/>
    </row>
    <row r="21" spans="1:5" x14ac:dyDescent="0.25">
      <c r="A21" s="1"/>
      <c r="B21" s="56" t="s">
        <v>169</v>
      </c>
      <c r="C21" s="48">
        <f>(C15+C16-C17)*(1+'Fane 13. Nøgletal'!C11)</f>
        <v>8866980.4345744774</v>
      </c>
      <c r="D21" s="14" t="s">
        <v>3</v>
      </c>
      <c r="E21" s="1"/>
    </row>
    <row r="22" spans="1:5" x14ac:dyDescent="0.25">
      <c r="A22" s="1"/>
      <c r="B22" s="56" t="s">
        <v>171</v>
      </c>
      <c r="C22" s="48">
        <f>(C21)*'Fane 13. Nøgletal'!C23</f>
        <v>177339.60869148956</v>
      </c>
      <c r="D22" s="14" t="s">
        <v>3</v>
      </c>
      <c r="E22" s="1"/>
    </row>
    <row r="23" spans="1:5" x14ac:dyDescent="0.25">
      <c r="A23" s="1"/>
      <c r="B23" s="52"/>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9265764.0126390308</v>
      </c>
      <c r="D26" s="14" t="s">
        <v>3</v>
      </c>
      <c r="E26" s="1"/>
    </row>
    <row r="27" spans="1:5" x14ac:dyDescent="0.25">
      <c r="A27" s="1"/>
      <c r="B27" s="56" t="s">
        <v>118</v>
      </c>
      <c r="C27" s="48">
        <f>(C26)*'Fane 13. Nøgletal'!C23</f>
        <v>185315.28025278062</v>
      </c>
      <c r="D27" s="14" t="s">
        <v>3</v>
      </c>
      <c r="E27" s="1"/>
    </row>
    <row r="28" spans="1:5" x14ac:dyDescent="0.25">
      <c r="A28" s="1"/>
      <c r="B28" s="52"/>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9682482.4833434578</v>
      </c>
      <c r="D31" s="14" t="s">
        <v>3</v>
      </c>
      <c r="E31" s="1"/>
    </row>
    <row r="32" spans="1:5" x14ac:dyDescent="0.25">
      <c r="A32" s="1"/>
      <c r="B32" s="56" t="s">
        <v>138</v>
      </c>
      <c r="C32" s="48">
        <f>(C31)*'Fane 13. Nøgletal'!C23</f>
        <v>193649.64966686917</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Now3Ob8UlbJVPQfSgcMzX8cWmYx1gj6W8LjIQHvmjabm421dQMWNN2Zyz33AGjy9wq2xggl7OkjaCnocfLjX2A==" saltValue="iDvKiTKTlYuuIciui22YvQ=="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162</v>
      </c>
      <c r="C9" s="48">
        <v>8496685.3433503937</v>
      </c>
      <c r="D9" s="14" t="s">
        <v>3</v>
      </c>
      <c r="E9" s="1"/>
    </row>
    <row r="10" spans="1:5" x14ac:dyDescent="0.25">
      <c r="A10" s="1"/>
      <c r="B10" s="56" t="s">
        <v>113</v>
      </c>
      <c r="C10" s="48">
        <f>('Fane 3. Omkostninger i ØR2024'!C11+'Fane 3. Omkostninger i ØR2024'!C13+'Fane 3. Omkostninger i ØR2024'!C15)*(1+'Fane 13. Nøgletal'!C10)</f>
        <v>643933.24905728002</v>
      </c>
      <c r="D10" s="14" t="s">
        <v>3</v>
      </c>
      <c r="E10" s="1"/>
    </row>
    <row r="11" spans="1:5" x14ac:dyDescent="0.25">
      <c r="A11" s="1"/>
      <c r="B11" s="56" t="s">
        <v>114</v>
      </c>
      <c r="C11" s="48">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8" t="s">
        <v>156</v>
      </c>
      <c r="C14" s="99"/>
      <c r="D14" s="100"/>
      <c r="E14" s="1"/>
    </row>
    <row r="15" spans="1:5" x14ac:dyDescent="0.25">
      <c r="A15" s="1"/>
      <c r="B15" s="56" t="s">
        <v>163</v>
      </c>
      <c r="C15" s="48">
        <f>(C9+C10-C11)*(1+'Fane 13. Nøgletal'!C11)</f>
        <v>9746641.6050843019</v>
      </c>
      <c r="D15" s="14" t="s">
        <v>3</v>
      </c>
      <c r="E15" s="1"/>
    </row>
    <row r="16" spans="1:5" x14ac:dyDescent="0.25">
      <c r="A16" s="1"/>
      <c r="B16" s="56" t="s">
        <v>157</v>
      </c>
      <c r="C16" s="48">
        <f>('Fane 2.1. Økonomisk ramme 2025'!C11+'Fane 2.1. Økonomisk ramme 2025'!C13+'Fane 2.1. Økonomisk ramme 2025'!C15)*(1+'Fane 13. Nøgletal'!C11)</f>
        <v>488279.38808343001</v>
      </c>
      <c r="D16" s="14" t="s">
        <v>3</v>
      </c>
      <c r="E16" s="1"/>
    </row>
    <row r="17" spans="1:5" x14ac:dyDescent="0.25">
      <c r="A17" s="1"/>
      <c r="B17" s="56" t="s">
        <v>158</v>
      </c>
      <c r="C17" s="48">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8" t="s">
        <v>166</v>
      </c>
      <c r="C20" s="99"/>
      <c r="D20" s="100"/>
      <c r="E20" s="1"/>
    </row>
    <row r="21" spans="1:5" x14ac:dyDescent="0.25">
      <c r="A21" s="1"/>
      <c r="B21" s="56" t="s">
        <v>164</v>
      </c>
      <c r="C21" s="48">
        <f>(C15+C16-C17)*(1+'Fane 13. Nøgletal'!C11)</f>
        <v>10913496.255014753</v>
      </c>
      <c r="D21" s="14" t="s">
        <v>3</v>
      </c>
      <c r="E21" s="1"/>
    </row>
    <row r="22" spans="1:5" x14ac:dyDescent="0.25">
      <c r="A22" s="1"/>
      <c r="B22" s="56" t="s">
        <v>165</v>
      </c>
      <c r="C22" s="48">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11637061.056722231</v>
      </c>
      <c r="D26" s="14" t="s">
        <v>3</v>
      </c>
      <c r="E26" s="1"/>
    </row>
    <row r="27" spans="1:5" x14ac:dyDescent="0.25">
      <c r="A27" s="1"/>
      <c r="B27" s="56" t="s">
        <v>121</v>
      </c>
      <c r="C27" s="48">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12408598.204782916</v>
      </c>
      <c r="D31" s="14" t="s">
        <v>3</v>
      </c>
      <c r="E31" s="1"/>
    </row>
    <row r="32" spans="1:5" x14ac:dyDescent="0.25">
      <c r="A32" s="1"/>
      <c r="B32" s="56" t="s">
        <v>141</v>
      </c>
      <c r="C32" s="48">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oJVdZ+DCkW6xeaRDYwEE7UM2S0Xq9wsXH2EgfedpRW25MKKwgmvj1n/yjt/wbnkeJiDgRps5Re8mIVDCPJMVyw==" saltValue="7+pu2KxOClcxjlyfoDk8Sw=="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160</v>
      </c>
      <c r="C9" s="44">
        <v>6.9832804822337795E-3</v>
      </c>
      <c r="D9" s="1"/>
    </row>
    <row r="10" spans="1:4" x14ac:dyDescent="0.25">
      <c r="A10" s="1"/>
      <c r="B10" s="52"/>
      <c r="C10" s="19"/>
      <c r="D10" s="1"/>
    </row>
    <row r="11" spans="1:4" ht="15" customHeight="1" x14ac:dyDescent="0.25">
      <c r="A11" s="1"/>
      <c r="B11" s="103" t="s">
        <v>161</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QhoozNPs6dXIf/vpnRzNIMUird9X+jpNqdliK8Mr47evFjRDX7ZAjKNOkgMQKOd4xx31keuYPKjuVyD2CRqGyQ==" saltValue="5ADv625QYfALdYQ5eycONA=="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1" t="s">
        <v>27</v>
      </c>
      <c r="C9" s="45" t="s">
        <v>145</v>
      </c>
      <c r="D9" s="11"/>
      <c r="E9" s="1"/>
    </row>
    <row r="10" spans="1:5" ht="15" customHeight="1" x14ac:dyDescent="0.25">
      <c r="A10" s="1"/>
      <c r="B10" s="65" t="s">
        <v>199</v>
      </c>
      <c r="C10" s="66">
        <v>6693374</v>
      </c>
      <c r="D10" s="14" t="s">
        <v>3</v>
      </c>
      <c r="E10" s="1"/>
    </row>
    <row r="11" spans="1:5" x14ac:dyDescent="0.25">
      <c r="A11" s="1"/>
      <c r="B11" s="65" t="s">
        <v>200</v>
      </c>
      <c r="C11" s="66">
        <v>60974</v>
      </c>
      <c r="D11" s="14" t="s">
        <v>3</v>
      </c>
      <c r="E11" s="1"/>
    </row>
    <row r="12" spans="1:5" x14ac:dyDescent="0.25">
      <c r="A12" s="1"/>
      <c r="B12" s="65" t="s">
        <v>201</v>
      </c>
      <c r="C12" s="66">
        <v>43713</v>
      </c>
      <c r="D12" s="14" t="s">
        <v>3</v>
      </c>
      <c r="E12" s="1"/>
    </row>
    <row r="13" spans="1:5" x14ac:dyDescent="0.25">
      <c r="A13" s="1"/>
      <c r="B13" s="65" t="s">
        <v>202</v>
      </c>
      <c r="C13" s="66">
        <v>13875</v>
      </c>
      <c r="D13" s="14" t="s">
        <v>3</v>
      </c>
      <c r="E13" s="1"/>
    </row>
    <row r="14" spans="1:5" x14ac:dyDescent="0.25">
      <c r="A14" s="1"/>
      <c r="B14" s="65" t="s">
        <v>203</v>
      </c>
      <c r="C14" s="66">
        <v>1080650</v>
      </c>
      <c r="D14" s="14" t="s">
        <v>3</v>
      </c>
      <c r="E14" s="1"/>
    </row>
    <row r="15" spans="1:5" x14ac:dyDescent="0.25">
      <c r="A15" s="1"/>
      <c r="B15" s="65"/>
      <c r="C15" s="66"/>
      <c r="D15" s="14" t="s">
        <v>3</v>
      </c>
      <c r="E15" s="1"/>
    </row>
    <row r="16" spans="1:5" x14ac:dyDescent="0.25">
      <c r="A16" s="1"/>
      <c r="B16" s="65"/>
      <c r="C16" s="66"/>
      <c r="D16" s="14" t="s">
        <v>3</v>
      </c>
      <c r="E16" s="1"/>
    </row>
    <row r="17" spans="1:5" x14ac:dyDescent="0.25">
      <c r="A17" s="1"/>
      <c r="B17" s="65"/>
      <c r="C17" s="66"/>
      <c r="D17" s="14" t="s">
        <v>3</v>
      </c>
      <c r="E17" s="1"/>
    </row>
    <row r="18" spans="1:5" x14ac:dyDescent="0.25">
      <c r="A18" s="1"/>
      <c r="B18" s="65"/>
      <c r="C18" s="66"/>
      <c r="D18" s="14" t="s">
        <v>3</v>
      </c>
      <c r="E18" s="1"/>
    </row>
    <row r="19" spans="1:5" x14ac:dyDescent="0.25">
      <c r="A19" s="1"/>
      <c r="B19" s="52" t="s">
        <v>143</v>
      </c>
      <c r="C19" s="12">
        <f>SUM(C10:C18)</f>
        <v>7892586</v>
      </c>
      <c r="D19" s="13" t="s">
        <v>3</v>
      </c>
      <c r="E19" s="1"/>
    </row>
    <row r="20" spans="1:5" x14ac:dyDescent="0.25">
      <c r="A20" s="1"/>
      <c r="B20" s="52" t="s">
        <v>144</v>
      </c>
      <c r="C20" s="12">
        <f>C19*(1+'Fane 13. Nøgletal'!C11)^2</f>
        <v>8973836.2649543397</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XevW9M+bOVrU+Jl2KLu7evOwmYhEdL5KGM3d8rK/Pag+mZHpbOlgTPmHGYVKx1b65rqMFiXm8G2QSHM+S8B8pw==" saltValue="FTY5QMrV3we8zh6ZT/VLY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172</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1"/>
      <c r="D7" s="1"/>
      <c r="E7" s="1"/>
    </row>
    <row r="8" spans="1:5" x14ac:dyDescent="0.25">
      <c r="A8" s="1"/>
      <c r="B8" s="98" t="s">
        <v>175</v>
      </c>
      <c r="C8" s="99"/>
      <c r="D8" s="100"/>
      <c r="E8" s="1"/>
    </row>
    <row r="9" spans="1:5" x14ac:dyDescent="0.25">
      <c r="A9" s="1"/>
      <c r="B9" s="56" t="s">
        <v>176</v>
      </c>
      <c r="C9" s="9">
        <v>-1044992.2629049197</v>
      </c>
      <c r="D9" s="39" t="s">
        <v>3</v>
      </c>
      <c r="E9" s="1"/>
    </row>
    <row r="10" spans="1:5" x14ac:dyDescent="0.25">
      <c r="A10" s="1"/>
      <c r="B10" s="56" t="s">
        <v>174</v>
      </c>
      <c r="C10" s="9">
        <v>-1425254.943748083</v>
      </c>
      <c r="D10" s="14" t="s">
        <v>3</v>
      </c>
      <c r="E10" s="1"/>
    </row>
    <row r="11" spans="1:5" x14ac:dyDescent="0.25">
      <c r="A11" s="1"/>
      <c r="B11" s="52"/>
      <c r="C11" s="53"/>
      <c r="D11" s="19"/>
      <c r="E11" s="1"/>
    </row>
    <row r="12" spans="1:5" ht="53.85" customHeight="1" x14ac:dyDescent="0.25">
      <c r="A12" s="1"/>
      <c r="B12" s="107" t="s">
        <v>173</v>
      </c>
      <c r="C12" s="108"/>
      <c r="D12" s="109"/>
      <c r="E12" s="1"/>
    </row>
    <row r="13" spans="1:5" x14ac:dyDescent="0.25">
      <c r="A13" s="1"/>
      <c r="B13" s="1"/>
      <c r="C13" s="1"/>
      <c r="D13" s="1"/>
      <c r="E13" s="1"/>
    </row>
    <row r="14" spans="1:5" x14ac:dyDescent="0.25">
      <c r="A14" s="1"/>
      <c r="B14" s="69" t="s">
        <v>177</v>
      </c>
      <c r="C14" s="70"/>
      <c r="D14" s="71"/>
      <c r="E14" s="1"/>
    </row>
    <row r="15" spans="1:5" x14ac:dyDescent="0.25">
      <c r="A15" s="1"/>
      <c r="B15" s="56" t="s">
        <v>178</v>
      </c>
      <c r="C15" s="9">
        <f>IF(C10&lt;0,C10,0)</f>
        <v>-1425254.943748083</v>
      </c>
      <c r="D15" s="14" t="s">
        <v>3</v>
      </c>
      <c r="E15" s="1"/>
    </row>
    <row r="16" spans="1:5" x14ac:dyDescent="0.25">
      <c r="A16" s="1"/>
      <c r="B16" s="56" t="s">
        <v>185</v>
      </c>
      <c r="C16" s="9">
        <f>IF(SUM(C9)&gt;0,SUM(C9),0)</f>
        <v>0</v>
      </c>
      <c r="D16" s="14" t="s">
        <v>3</v>
      </c>
      <c r="E16" s="1"/>
    </row>
    <row r="17" spans="1:5" ht="26.25" x14ac:dyDescent="0.25">
      <c r="A17" s="1"/>
      <c r="B17" s="72" t="s">
        <v>179</v>
      </c>
      <c r="C17" s="62">
        <f>IF(SUM(C15:C16)&gt;0,0,SUM(C15:C16))</f>
        <v>-1425254.943748083</v>
      </c>
      <c r="D17" s="17" t="s">
        <v>3</v>
      </c>
      <c r="E17" s="1"/>
    </row>
    <row r="18" spans="1:5" x14ac:dyDescent="0.25">
      <c r="A18" s="1"/>
      <c r="B18" s="52"/>
      <c r="C18" s="53"/>
      <c r="D18" s="19"/>
      <c r="E18" s="1"/>
    </row>
    <row r="19" spans="1:5" x14ac:dyDescent="0.25">
      <c r="A19" s="1"/>
      <c r="B19" s="1"/>
      <c r="C19" s="1"/>
      <c r="D19" s="1"/>
      <c r="E19" s="1"/>
    </row>
    <row r="20" spans="1:5" x14ac:dyDescent="0.25">
      <c r="A20" s="1"/>
      <c r="B20" s="69" t="s">
        <v>180</v>
      </c>
      <c r="C20" s="70"/>
      <c r="D20" s="71"/>
      <c r="E20" s="1"/>
    </row>
    <row r="21" spans="1:5" x14ac:dyDescent="0.25">
      <c r="A21" s="1"/>
      <c r="B21" s="56" t="s">
        <v>181</v>
      </c>
      <c r="C21" s="9">
        <v>23608052.718340859</v>
      </c>
      <c r="D21" s="14" t="s">
        <v>3</v>
      </c>
      <c r="E21" s="1"/>
    </row>
    <row r="22" spans="1:5" x14ac:dyDescent="0.25">
      <c r="A22" s="1"/>
      <c r="B22" s="56" t="s">
        <v>182</v>
      </c>
      <c r="C22" s="9">
        <v>23142045</v>
      </c>
      <c r="D22" s="14" t="s">
        <v>3</v>
      </c>
      <c r="E22" s="1"/>
    </row>
    <row r="23" spans="1:5" x14ac:dyDescent="0.25">
      <c r="A23" s="1"/>
      <c r="B23" s="56" t="s">
        <v>28</v>
      </c>
      <c r="C23" s="9">
        <v>0</v>
      </c>
      <c r="D23" s="14" t="s">
        <v>3</v>
      </c>
      <c r="E23" s="1"/>
    </row>
    <row r="24" spans="1:5" x14ac:dyDescent="0.25">
      <c r="A24" s="1"/>
      <c r="B24" s="74" t="s">
        <v>183</v>
      </c>
      <c r="C24" s="46">
        <f>C21-C22-C23</f>
        <v>466007.71834085882</v>
      </c>
      <c r="D24" s="17" t="s">
        <v>3</v>
      </c>
      <c r="E24" s="1"/>
    </row>
    <row r="25" spans="1:5" x14ac:dyDescent="0.25">
      <c r="A25" s="1"/>
      <c r="B25" s="52"/>
      <c r="C25" s="53"/>
      <c r="D25" s="19"/>
      <c r="E25" s="1"/>
    </row>
    <row r="26" spans="1:5" x14ac:dyDescent="0.25">
      <c r="A26" s="1"/>
      <c r="B26" s="1"/>
      <c r="C26" s="1"/>
      <c r="D26" s="1"/>
      <c r="E26" s="1"/>
    </row>
    <row r="27" spans="1:5" x14ac:dyDescent="0.25">
      <c r="A27" s="1"/>
      <c r="B27" s="98" t="s">
        <v>184</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-1425254.943748083</v>
      </c>
      <c r="D28" s="14" t="s">
        <v>3</v>
      </c>
      <c r="E28" s="1"/>
    </row>
    <row r="29" spans="1:5" x14ac:dyDescent="0.25">
      <c r="A29" s="1"/>
      <c r="B29" s="57" t="s">
        <v>48</v>
      </c>
      <c r="C29" s="9">
        <v>2</v>
      </c>
      <c r="D29" s="14" t="s">
        <v>18</v>
      </c>
      <c r="E29" s="1"/>
    </row>
    <row r="30" spans="1:5" x14ac:dyDescent="0.25">
      <c r="A30" s="1"/>
      <c r="B30" s="58" t="s">
        <v>64</v>
      </c>
      <c r="C30" s="10">
        <f>C28/C29</f>
        <v>-712627.47187404148</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ZdWtReFHTCZmDzSfluSUbK+DAEpRTy2On1Q2fNbO64pA5hpv4iek5Nrk5PNQsYc79sR0Obc3fS8IMcOUWuLyoQ==" saltValue="5ewsZ3E2k0de2QuA7R2j+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6" t="s">
        <v>96</v>
      </c>
      <c r="C3" s="96"/>
      <c r="D3" s="96"/>
      <c r="E3" s="1"/>
    </row>
    <row r="4" spans="1:5" ht="15" customHeight="1" x14ac:dyDescent="0.25">
      <c r="A4" s="1"/>
      <c r="B4" s="96"/>
      <c r="C4" s="96"/>
      <c r="D4" s="96"/>
      <c r="E4" s="1"/>
    </row>
    <row r="5" spans="1:5" x14ac:dyDescent="0.25">
      <c r="A5" s="1"/>
      <c r="B5" s="96"/>
      <c r="C5" s="96"/>
      <c r="D5" s="96"/>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9"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2ARSk9AbETlv+8R+KOdL+PZyOo0lWlLAvAS6Ra7kECdsd0+eoq2K4zyoPzPQ3lXXXRf7eL0lKBTILX/PNtix1A==" saltValue="gwmkLrHqTgCU/i5srK2oEg=="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CdTcYwQIkNVTd9P5pyM7Zxt0ZnCPLplqoAXqcG2JRtR7zBBmvY9AZTxsOne0LSLxHRu/2x8KP5U68CNvFkKwnw==" saltValue="9GHrE6m/rQX+kSHV5296u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2" t="s">
        <v>15</v>
      </c>
      <c r="C9" s="74" t="s">
        <v>10</v>
      </c>
      <c r="D9" s="73"/>
      <c r="E9" s="74"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204</v>
      </c>
      <c r="C11" s="21">
        <v>0</v>
      </c>
      <c r="D11" s="14" t="s">
        <v>3</v>
      </c>
      <c r="E11" s="9">
        <v>402009</v>
      </c>
      <c r="F11" s="14" t="s">
        <v>3</v>
      </c>
      <c r="G11" s="1"/>
    </row>
    <row r="12" spans="1:7" x14ac:dyDescent="0.25">
      <c r="A12" s="1"/>
      <c r="B12" s="26" t="s">
        <v>205</v>
      </c>
      <c r="C12" s="21">
        <v>175726</v>
      </c>
      <c r="D12" s="14" t="s">
        <v>3</v>
      </c>
      <c r="E12" s="9">
        <v>27438</v>
      </c>
      <c r="F12" s="14" t="s">
        <v>3</v>
      </c>
      <c r="G12" s="1"/>
    </row>
    <row r="13" spans="1:7" x14ac:dyDescent="0.25">
      <c r="A13" s="1"/>
      <c r="B13" s="26"/>
      <c r="C13" s="21"/>
      <c r="D13" s="14" t="s">
        <v>3</v>
      </c>
      <c r="E13" s="9"/>
      <c r="F13" s="14" t="s">
        <v>3</v>
      </c>
      <c r="G13" s="1"/>
    </row>
    <row r="14" spans="1:7" x14ac:dyDescent="0.25">
      <c r="A14" s="1"/>
      <c r="B14" s="26"/>
      <c r="C14" s="21"/>
      <c r="D14" s="14" t="s">
        <v>3</v>
      </c>
      <c r="E14" s="9"/>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112</v>
      </c>
      <c r="C17" s="12">
        <f>SUM(C10:C16)</f>
        <v>175726</v>
      </c>
      <c r="D17" s="13" t="s">
        <v>3</v>
      </c>
      <c r="E17" s="12">
        <f>SUM(E10:E16)</f>
        <v>429447</v>
      </c>
      <c r="F17" s="13" t="s">
        <v>3</v>
      </c>
      <c r="G17" s="1"/>
    </row>
    <row r="18" spans="1:7" x14ac:dyDescent="0.25">
      <c r="A18" s="1"/>
      <c r="B18" s="52" t="s">
        <v>147</v>
      </c>
      <c r="C18" s="12">
        <f>C17*(1+'Fane 13. Nøgletal'!C11)</f>
        <v>187376.63380000001</v>
      </c>
      <c r="D18" s="13" t="s">
        <v>3</v>
      </c>
      <c r="E18" s="12">
        <f>E17*(1+'Fane 13. Nøgletal'!C11)</f>
        <v>457919.33610000001</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ldVjTzf1kfRkHNjlerFPSkUtJBtHMbziU2QZkD/u19SRKD0CqMmQLboKdfTUljL02PbKAxURpGBjg57mZYuDMg==" saltValue="TorHOIZ3mLNcXWdbyEJQH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150</v>
      </c>
      <c r="C8" s="99"/>
      <c r="D8" s="99"/>
      <c r="E8" s="99"/>
      <c r="F8" s="100"/>
      <c r="G8" s="1"/>
    </row>
    <row r="9" spans="1:7" x14ac:dyDescent="0.25">
      <c r="A9" s="1"/>
      <c r="B9" s="72" t="s">
        <v>15</v>
      </c>
      <c r="C9" s="74" t="s">
        <v>10</v>
      </c>
      <c r="D9" s="75"/>
      <c r="E9" s="74" t="s">
        <v>26</v>
      </c>
      <c r="F9" s="27"/>
      <c r="G9" s="1"/>
    </row>
    <row r="10" spans="1:7" x14ac:dyDescent="0.25">
      <c r="A10" s="1"/>
      <c r="B10" s="23" t="s">
        <v>206</v>
      </c>
      <c r="C10" s="21">
        <v>17052</v>
      </c>
      <c r="D10" s="14" t="s">
        <v>3</v>
      </c>
      <c r="E10" s="9">
        <v>0</v>
      </c>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148</v>
      </c>
      <c r="C13" s="12">
        <f>SUM(C10:C12)</f>
        <v>17052</v>
      </c>
      <c r="D13" s="13" t="s">
        <v>3</v>
      </c>
      <c r="E13" s="12">
        <f>SUM(E10:E12)</f>
        <v>0</v>
      </c>
      <c r="F13" s="13" t="s">
        <v>3</v>
      </c>
      <c r="G13" s="1"/>
    </row>
    <row r="14" spans="1:7" x14ac:dyDescent="0.25">
      <c r="A14" s="1"/>
      <c r="B14" s="52" t="s">
        <v>149</v>
      </c>
      <c r="C14" s="12">
        <f>C13*(1+'Fane 13. Nøgletal'!$C$11)^2</f>
        <v>19388.050505880001</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Kn6CdqAPal9equS19MjHuIP3nLfm1FooojyGYhgxtfjgJWQOxv98JbcPwbU+WI9wgMOoJMTMt4mIaOsBPXcefw==" saltValue="O5QyGT9PET1AvlWj8v1wzA=="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93</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4" t="s">
        <v>60</v>
      </c>
      <c r="C9" s="118" t="s">
        <v>10</v>
      </c>
      <c r="D9" s="119"/>
      <c r="E9" s="118" t="s">
        <v>26</v>
      </c>
      <c r="F9" s="119"/>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nY/VkUPgU7fid5XjWp8XvXIlgot0aHNw5qyrXcqB2OIRgBnjdw1qItFaVNfiL1JykrXqlIthZEjZOOV+6Hw+zw==" saltValue="buO4nwJv80W6ISG4VexqGQ=="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94</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152</v>
      </c>
      <c r="C8" s="99"/>
      <c r="D8" s="99"/>
      <c r="E8" s="99"/>
      <c r="F8" s="100"/>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LuOdtkVZ5c8b87pq1ZQFt91m9gwJwANA9+qCsAeKgK64R9XtlMAiuq9IIaXNHeTdwOLvgUi9V7wD/BuZ+ZQKfw==" saltValue="gFIDhICnWMehWBMJw0V8uQ=="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6" t="s">
        <v>95</v>
      </c>
      <c r="C3" s="96"/>
      <c r="D3" s="1"/>
    </row>
    <row r="4" spans="1:4" ht="15" customHeight="1" x14ac:dyDescent="0.25">
      <c r="A4" s="1"/>
      <c r="B4" s="96"/>
      <c r="C4" s="96"/>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196</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197</v>
      </c>
      <c r="C18" s="64">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9TnWNPTJarArLzLuYXaygahCi3Vig+sBOvfa+12nsjdttZMhhG89ZSuXD3p6OGp4we5Dv+8b+Vo5ATdtjba0LQ==" saltValue="o57kXfb6ckBJ8XuHPqxYnw=="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2024-09-05T07:26:12Z</dcterms:modified>
</cp:coreProperties>
</file>