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defaultThemeVersion="124226"/>
  <mc:AlternateContent xmlns:mc="http://schemas.openxmlformats.org/markup-compatibility/2006">
    <mc:Choice Requires="x15">
      <x15ac:absPath xmlns:x15ac="http://schemas.microsoft.com/office/spreadsheetml/2010/11/ac" url="E:\VAND\Sagsbehandling\Spildevand\Solrød Spildevand AS (S087)\ØR2025\"/>
    </mc:Choice>
  </mc:AlternateContent>
  <xr:revisionPtr revIDLastSave="0" documentId="13_ncr:1_{082C3F14-27C1-463D-802D-4DDA7CFFE72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36" i="2" l="1"/>
  <c r="C23" i="43" l="1"/>
  <c r="C27" i="43" s="1"/>
  <c r="C32" i="2" s="1"/>
  <c r="F10" i="11" l="1"/>
  <c r="C11" i="29"/>
  <c r="C10" i="36" l="1"/>
  <c r="C10" i="30"/>
  <c r="C20" i="23" l="1"/>
  <c r="C22" i="22"/>
  <c r="C22" i="15"/>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<sst xmlns="http://schemas.openxmlformats.org/spreadsheetml/2006/main" count="551" uniqueCount="236">
  <si>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</si>
  <si>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</si>
  <si>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</si>
  <si>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</si>
  <si>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</si>
  <si>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</si>
  <si>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</si>
  <si>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</si>
  <si>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</si>
  <si>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</si>
  <si>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</si>
  <si>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</si>
  <si>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</si>
  <si>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</si>
  <si>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</si>
  <si>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</si>
  <si>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</si>
  <si>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</si>
  <si>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</si>
  <si>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</si>
  <si>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</si>
  <si>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</si>
  <si>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</si>
  <si>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</si>
  <si>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</si>
  <si>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</si>
  <si>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</si>
  <si>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</si>
  <si>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</si>
  <si>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</si>
  <si>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</si>
  <si>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</si>
  <si>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</si>
  <si>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</si>
  <si>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</si>
  <si>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</si>
  <si>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</si>
  <si>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</si>
  <si>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</si>
  <si>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</si>
  <si>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</si>
  <si>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</si>
  <si>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</si>
  <si>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</si>
  <si>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</si>
  <si>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</si>
  <si>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</si>
  <si>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</si>
  <si>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</si>
  <si>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</si>
  <si>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</si>
  <si>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</si>
  <si>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</si>
  <si>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</si>
  <si>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</si>
  <si>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</si>
  <si>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</si>
  <si>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</si>
  <si>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</si>
  <si>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</si>
  <si>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</si>
  <si>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</si>
  <si>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</si>
  <si>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</si>
  <si>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</si>
  <si>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</si>
  <si>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</si>
  <si>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</si>
  <si>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</si>
  <si>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</si>
  <si>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</si>
  <si>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</si>
  <si>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</si>
  <si>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</si>
  <si>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</si>
  <si>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</si>
  <si>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</si>
  <si>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</si>
  <si>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</si>
  <si>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</si>
  <si>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</si>
  <si>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</si>
  <si>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</si>
  <si>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</si>
  <si>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</si>
  <si>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</si>
  <si>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</si>
  <si>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</si>
  <si>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</si>
  <si>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</si>
  <si>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</si>
  <si>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</si>
  <si>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</si>
  <si>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</si>
  <si>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</si>
  <si>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</si>
  <si>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</si>
  <si>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</si>
  <si>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</si>
  <si>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</si>
  <si>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</si>
  <si>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</si>
  <si>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</si>
  <si>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</si>
  <si>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</si>
  <si>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</si>
  <si>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</si>
  <si>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</si>
  <si>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</si>
  <si>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</si>
  <si>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</si>
  <si>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</si>
  <si>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</si>
  <si>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</si>
  <si>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</si>
  <si>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</si>
  <si>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</si>
  <si>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</si>
  <si>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</si>
  <si>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</si>
  <si>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</si>
  <si>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</si>
  <si>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</si>
  <si>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</si>
  <si>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</si>
  <si>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</si>
  <si>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</si>
  <si>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</si>
  <si>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</si>
  <si>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</si>
  <si>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</si>
  <si>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</si>
  <si>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</si>
  <si>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</si>
  <si>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</si>
  <si>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</si>
  <si>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</si>
  <si>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</si>
  <si>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</si>
  <si>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</si>
  <si>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</si>
  <si>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</si>
  <si>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</si>
  <si>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</si>
  <si>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</si>
  <si>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</si>
  <si>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</si>
  <si>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</si>
  <si>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</si>
  <si>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</si>
  <si>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</si>
  <si>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</si>
  <si>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</si>
  <si>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</si>
  <si>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</si>
  <si>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</si>
  <si>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</si>
  <si>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</si>
  <si>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</si>
  <si>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</si>
  <si>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</si>
  <si>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</si>
  <si>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</si>
  <si>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</si>
  <si>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</si>
  <si>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</si>
  <si>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</si>
  <si>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</si>
  <si>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</si>
  <si>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</si>
  <si>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</si>
  <si>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</si>
  <si>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</si>
  <si>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</si>
  <si>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</si>
  <si>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</si>
  <si>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</si>
  <si>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</si>
  <si>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</si>
  <si>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</si>
  <si>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</si>
  <si>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</si>
  <si>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</si>
  <si>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</si>
  <si>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</si>
  <si>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</si>
  <si>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</si>
  <si>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</si>
  <si>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</si>
  <si>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</si>
  <si>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</si>
  <si>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</si>
  <si>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</si>
  <si>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</si>
  <si>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</si>
  <si>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</si>
  <si>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</si>
  <si>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</si>
  <si>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</si>
  <si>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</si>
  <si>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</si>
  <si>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</si>
  <si>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</si>
  <si>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</si>
  <si>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</si>
  <si>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</si>
  <si>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</si>
  <si>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</si>
  <si>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</si>
  <si>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</si>
  <si>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</si>
  <si>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</si>
  <si>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</si>
  <si>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</si>
  <si>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</si>
  <si>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</si>
  <si>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</si>
  <si>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</si>
  <si>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</si>
  <si>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</si>
  <si>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</si>
  <si>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</si>
  <si>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</si>
  <si>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</si>
  <si>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</si>
  <si>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</si>
  <si>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</si>
  <si>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</si>
  <si>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</si>
  <si>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</si>
  <si>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</si>
  <si>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</si>
  <si>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</si>
  <si>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</si>
  <si>
    <t>Klimatilpasning 2021-2023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</si>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</sst>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228</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RWDY0XciCwHBPnOiLnEcK1cFoyCv3pB3h4rxvgBCjMozLc8xnhqAKgwGXgFxS0qSZ2KSeWucb3ABMGSfWevQjw==" saltValue="g6bfLQXyTCa9DvnZabh+S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229</v>
      </c>
      <c r="C10" s="72">
        <v>498229</v>
      </c>
      <c r="D10" s="14" t="s">
        <v>3</v>
      </c>
      <c r="E10" s="1"/>
    </row>
    <row r="11" spans="1:5" ht="15" customHeight="1" x14ac:dyDescent="0.25">
      <c r="A11" s="1"/>
      <c r="B11" s="71" t="s">
        <v>230</v>
      </c>
      <c r="C11" s="72">
        <v>56934</v>
      </c>
      <c r="D11" s="14" t="s">
        <v>3</v>
      </c>
      <c r="E11" s="1"/>
    </row>
    <row r="12" spans="1:5" ht="25.5" x14ac:dyDescent="0.25">
      <c r="A12" s="1"/>
      <c r="B12" s="71" t="s">
        <v>231</v>
      </c>
      <c r="C12" s="72">
        <v>278302</v>
      </c>
      <c r="D12" s="14" t="s">
        <v>3</v>
      </c>
      <c r="E12" s="1"/>
    </row>
    <row r="13" spans="1:5" x14ac:dyDescent="0.25">
      <c r="A13" s="1"/>
      <c r="B13" s="71" t="s">
        <v>232</v>
      </c>
      <c r="C13" s="72">
        <v>107657</v>
      </c>
      <c r="D13" s="14" t="s">
        <v>3</v>
      </c>
      <c r="E13" s="1"/>
    </row>
    <row r="14" spans="1:5" x14ac:dyDescent="0.25">
      <c r="A14" s="1"/>
      <c r="B14" s="71" t="s">
        <v>233</v>
      </c>
      <c r="C14" s="72">
        <v>12623</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953745</v>
      </c>
      <c r="D20" s="13" t="s">
        <v>3</v>
      </c>
      <c r="E20" s="1"/>
    </row>
    <row r="21" spans="1:5" x14ac:dyDescent="0.25">
      <c r="A21" s="1"/>
      <c r="B21" s="33" t="s">
        <v>168</v>
      </c>
      <c r="C21" s="12">
        <f>C20*(1+'Fane 15. Nøgletal'!C10)^2</f>
        <v>1084403.9543590499</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135782</v>
      </c>
      <c r="D25" s="14" t="s">
        <v>3</v>
      </c>
      <c r="E25" s="1"/>
    </row>
    <row r="26" spans="1:5" x14ac:dyDescent="0.25">
      <c r="A26" s="1"/>
      <c r="B26" s="37" t="s">
        <v>83</v>
      </c>
      <c r="C26" s="9">
        <v>135782</v>
      </c>
      <c r="D26" s="14" t="s">
        <v>3</v>
      </c>
      <c r="E26" s="1"/>
    </row>
    <row r="27" spans="1:5" x14ac:dyDescent="0.25">
      <c r="A27" s="1"/>
      <c r="B27" s="37" t="s">
        <v>148</v>
      </c>
      <c r="C27" s="9">
        <v>135782</v>
      </c>
      <c r="D27" s="14" t="s">
        <v>3</v>
      </c>
      <c r="E27" s="1"/>
    </row>
    <row r="28" spans="1:5" x14ac:dyDescent="0.25">
      <c r="A28" s="1"/>
      <c r="B28" s="34" t="s">
        <v>169</v>
      </c>
      <c r="C28" s="9">
        <v>135782</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kXuP/iTgdhK9MLfgOxNO3Y104Ydk8pHKdzSpI3MWPyEKgqZHCuJxuKlV3S7Gwq0GvZ2uosVAsb1YZV/KfUgaeA==" saltValue="5m+UyCV0HkNnYcXcnnuh9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-261932.2543515265</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-427231</v>
      </c>
      <c r="D14" s="14" t="s">
        <v>3</v>
      </c>
      <c r="E14" s="1"/>
    </row>
    <row r="15" spans="1:5" x14ac:dyDescent="0.25">
      <c r="A15" s="1"/>
      <c r="B15" s="65" t="s">
        <v>203</v>
      </c>
      <c r="C15" s="9">
        <v>-427231</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30658487.319799427</v>
      </c>
      <c r="D20" s="14" t="s">
        <v>3</v>
      </c>
      <c r="E20" s="1"/>
    </row>
    <row r="21" spans="1:5" x14ac:dyDescent="0.25">
      <c r="A21" s="1"/>
      <c r="B21" s="65" t="s">
        <v>207</v>
      </c>
      <c r="C21" s="9">
        <v>28767343</v>
      </c>
      <c r="D21" s="14" t="s">
        <v>3</v>
      </c>
      <c r="E21" s="1"/>
    </row>
    <row r="22" spans="1:5" x14ac:dyDescent="0.25">
      <c r="A22" s="1"/>
      <c r="B22" s="65" t="s">
        <v>29</v>
      </c>
      <c r="C22" s="9">
        <v>0</v>
      </c>
      <c r="D22" s="14" t="s">
        <v>3</v>
      </c>
      <c r="E22" s="1"/>
    </row>
    <row r="23" spans="1:5" x14ac:dyDescent="0.25">
      <c r="A23" s="1"/>
      <c r="B23" s="82" t="s">
        <v>208</v>
      </c>
      <c r="C23" s="57">
        <f>C20-C21-C22</f>
        <v>1891144.3197994269</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427231</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L8F7XIWhfx9NENNqlavPqij0hHz8TIEA3bWBIc03ptHb5k7STbnCi9HrnFDf5kjHPQck8EThOxEWwN1S+exjXA==" saltValue="cJWXBnJkDtfLW6zLpCeAT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-193415.5</v>
      </c>
      <c r="D13" s="9" t="s">
        <v>3</v>
      </c>
      <c r="E13" s="1"/>
    </row>
    <row r="14" spans="1:5" x14ac:dyDescent="0.25">
      <c r="A14" s="1"/>
      <c r="B14" s="68" t="s">
        <v>107</v>
      </c>
      <c r="C14" s="9">
        <v>-193415.5</v>
      </c>
      <c r="D14" s="9" t="s">
        <v>3</v>
      </c>
      <c r="E14" s="1"/>
    </row>
    <row r="15" spans="1:5" x14ac:dyDescent="0.25">
      <c r="A15" s="1"/>
      <c r="B15" s="68" t="s">
        <v>108</v>
      </c>
      <c r="C15" s="9">
        <v>-193415.5</v>
      </c>
      <c r="D15" s="9" t="s">
        <v>3</v>
      </c>
      <c r="E15" s="1"/>
    </row>
    <row r="16" spans="1:5" x14ac:dyDescent="0.25">
      <c r="A16" s="1"/>
      <c r="B16" s="68" t="s">
        <v>109</v>
      </c>
      <c r="C16" s="9">
        <v>-193415.5</v>
      </c>
      <c r="D16" s="9" t="s">
        <v>3</v>
      </c>
      <c r="E16" s="1"/>
    </row>
    <row r="17" spans="1:5" x14ac:dyDescent="0.25">
      <c r="A17" s="1"/>
      <c r="B17" s="68" t="s">
        <v>110</v>
      </c>
      <c r="C17" s="9">
        <v>-193415.5</v>
      </c>
      <c r="D17" s="9" t="s">
        <v>3</v>
      </c>
      <c r="E17" s="1"/>
    </row>
    <row r="18" spans="1:5" x14ac:dyDescent="0.25">
      <c r="A18" s="1"/>
      <c r="B18" s="76" t="s">
        <v>111</v>
      </c>
      <c r="C18" s="12">
        <f>SUM(C10:C17)</f>
        <v>-967077.5</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a3HVs8pif4uzhAPT1BqnUfsOazqU3Qa5KnnONRozikxi1Rx+h6IbgUbQgWxjXFHEENwVr2/wMt5M9pMq7sFiA==" saltValue="hdVoFuMNo7fAL0OY3NThQ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8" t="s">
        <v>219</v>
      </c>
      <c r="C12" s="109"/>
      <c r="D12" s="110"/>
      <c r="E12" s="1"/>
    </row>
    <row r="13" spans="1:5" ht="26.25" x14ac:dyDescent="0.25">
      <c r="A13" s="1"/>
      <c r="B13" s="79" t="s">
        <v>218</v>
      </c>
      <c r="C13" s="7">
        <v>135782</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-135782</v>
      </c>
      <c r="D15" s="11" t="s">
        <v>3</v>
      </c>
      <c r="E15" s="1"/>
    </row>
    <row r="16" spans="1:5" ht="14.25" customHeight="1" x14ac:dyDescent="0.25">
      <c r="A16" s="1"/>
      <c r="B16" s="33" t="s">
        <v>174</v>
      </c>
      <c r="C16" s="12">
        <f>C11+C15</f>
        <v>-135782</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vdAx5/2oDtY/bXAdIv54jk9HobSePvRwqSZhzr1DY1VXUXppF3Izl7ud2mnFLI/a/18aeSWPyJtC1ETUC7XjA==" saltValue="J/W21iA/YGF3R4MWqCA/z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msnBL2mL1dnsiVQt33Apsj/KvZdBFv0uoEGm/wR9846BRFtNL12KbC7d56bJGNg7W/IEjzfkxW5oTuk5zi1bQ==" saltValue="iL5Y0mS5G/YvvD1EHtqUr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29661</v>
      </c>
      <c r="D11" s="14" t="s">
        <v>3</v>
      </c>
      <c r="E11" s="9">
        <v>531625</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29661</v>
      </c>
      <c r="D19" s="13" t="s">
        <v>3</v>
      </c>
      <c r="E19" s="12">
        <f>SUM(E10:E18)</f>
        <v>531625</v>
      </c>
      <c r="F19" s="13" t="s">
        <v>3</v>
      </c>
      <c r="G19" s="1"/>
    </row>
    <row r="20" spans="1:7" x14ac:dyDescent="0.25">
      <c r="A20" s="1"/>
      <c r="B20" s="33" t="s">
        <v>175</v>
      </c>
      <c r="C20" s="12">
        <f>C19*(1+'Fane 15. Nøgletal'!C10)</f>
        <v>31627.524300000001</v>
      </c>
      <c r="D20" s="13" t="s">
        <v>3</v>
      </c>
      <c r="E20" s="12">
        <f>E19*(1+'Fane 15. Nøgletal'!C10)</f>
        <v>566871.73750000005</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YW6x/rLzcaLfjZgOLcn4w/2col6GH29iI3Pfu27c3/+jHED0taYaDrYRUdu7xbyNZLLLg5tTNT3fKQ9tJQ2CQ==" saltValue="s9edoxBLTQluEcLn1Jjl6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235</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fUaKOIgdsBbXDhknn8KFk/Fgp9OXPFwbV8yBcY8BlHDBfNd8x0otKR0ukQRoUbYpTK3Odp0DRG85Zfq92Mrug==" saltValue="fxKDNi2zHe1K8SgIjdpjQ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OOcD+eWSZBgEndntcBR5LsZN3yQgExNEavXrkouNh1YIiL56P7C9iT8KLh1Qp3vfWLfv8LOOsxGPFWR/KDvaw==" saltValue="HOGPEkOkzb63Y3m00uHMt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5xt6pQKh/ME1kbXgM+Q6ZLXjo8xI/VyGTuRzWEPBdQzB1j+6eh9BCgxiCUkClCKZvPT0ODwm2Grkru3xhSn+1Q==" saltValue="fd5XdZ7o14Is76RrdMaUb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HU3nc/uCCYg4I62v6ktcyK8zYAPIIaQaTP3BrycRgo7IVZERgT8QlHH6iDa3uxuXptW8CrH4oGaqhDlSVmmsQ==" saltValue="x6S2COzEZXD3J6cOcPWNz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33574275.383675575</v>
      </c>
      <c r="D9" s="8" t="s">
        <v>3</v>
      </c>
      <c r="E9" s="1"/>
    </row>
    <row r="10" spans="1:5" ht="17.25" customHeight="1" x14ac:dyDescent="0.25">
      <c r="A10" s="1"/>
      <c r="B10" s="64" t="s">
        <v>35</v>
      </c>
      <c r="C10" s="7">
        <f>'Fane 11.1. Varige tillæg'!C20</f>
        <v>31627.524300000001</v>
      </c>
      <c r="D10" s="8" t="s">
        <v>3</v>
      </c>
      <c r="E10" s="1"/>
    </row>
    <row r="11" spans="1:5" ht="17.25" customHeight="1" x14ac:dyDescent="0.25">
      <c r="A11" s="1"/>
      <c r="B11" s="64" t="s">
        <v>36</v>
      </c>
      <c r="C11" s="9">
        <f>'Fane 11.1. Varige tillæg'!E20</f>
        <v>566871.73750000005</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2752481.952058326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-261711.06127327017</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36663545.536260627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1220185.9543590499</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427231</v>
      </c>
      <c r="D32" s="11" t="s">
        <v>3</v>
      </c>
      <c r="E32" s="1"/>
    </row>
    <row r="33" spans="1:5" ht="15" customHeight="1" x14ac:dyDescent="0.25">
      <c r="A33" s="1"/>
      <c r="B33" s="33" t="s">
        <v>154</v>
      </c>
      <c r="C33" s="28"/>
      <c r="D33" s="19"/>
      <c r="E33" s="1"/>
    </row>
    <row r="34" spans="1:5" x14ac:dyDescent="0.25">
      <c r="A34" s="1"/>
      <c r="B34" s="31" t="s">
        <v>154</v>
      </c>
      <c r="C34" s="10">
        <f>'Fane 9. Korrektion af ØR2023'!C16</f>
        <v>-135782</v>
      </c>
      <c r="D34" s="11" t="s">
        <v>3</v>
      </c>
      <c r="E34" s="1"/>
    </row>
    <row r="35" spans="1:5" x14ac:dyDescent="0.25">
      <c r="A35" s="1"/>
      <c r="B35" s="30" t="s">
        <v>75</v>
      </c>
      <c r="C35" s="28"/>
      <c r="D35" s="19"/>
      <c r="E35" s="1"/>
    </row>
    <row r="36" spans="1:5" x14ac:dyDescent="0.25">
      <c r="A36" s="1"/>
      <c r="B36" s="67" t="s">
        <v>76</v>
      </c>
      <c r="C36" s="10">
        <f>'Fane 8. Skattesagen'!C14</f>
        <v>-193415.5</v>
      </c>
      <c r="D36" s="11" t="s">
        <v>3</v>
      </c>
      <c r="E36" s="1"/>
    </row>
    <row r="37" spans="1:5" x14ac:dyDescent="0.25">
      <c r="A37" s="1"/>
      <c r="B37" s="33" t="s">
        <v>71</v>
      </c>
      <c r="C37" s="45">
        <f>SUM(C34,C32,C24,C30,C22,C20,C36)</f>
        <v>37981764.990619674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uJBVUCtT1GJh0DGZEYnppg+2jwO5Yt5j3R0Fm6jVHgSqQ5ERxLsW0NXNnNwWU0dhL+Xt+SU4YAcBiPclgBE2A==" saltValue="yFr0LNGqhsMaU2zvxfVSz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bV1AtTDB0k+IRuxuZ9VMEEjR9jUWufCLkRVzuBpt8Cw2UR35adZRFpejr5c/Brzb+0j08FdY+7Gp/xVpkgfe8g==" saltValue="1qEh8nVEMZX6UMzsr0z9E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36663545.536260627</v>
      </c>
      <c r="D9" s="8" t="s">
        <v>3</v>
      </c>
      <c r="E9" s="1"/>
    </row>
    <row r="10" spans="1:5" ht="15" customHeight="1" x14ac:dyDescent="0.25">
      <c r="A10" s="1"/>
      <c r="B10" s="26" t="s">
        <v>19</v>
      </c>
      <c r="C10" s="7">
        <f>C9*'Fane 15. Nøgletal'!C10</f>
        <v>2430793.0690540797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-273481.25454297423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38820857.350771733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1292081.936533055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-193415.5</v>
      </c>
      <c r="D22" s="11" t="s">
        <v>3</v>
      </c>
      <c r="E22" s="1"/>
    </row>
    <row r="23" spans="1:5" x14ac:dyDescent="0.25">
      <c r="A23" s="1"/>
      <c r="B23" s="33" t="s">
        <v>81</v>
      </c>
      <c r="C23" s="12">
        <f>SUM(C14,C16,C18,C20,C22)</f>
        <v>39919523.787304789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j8Ox/GLTowmA6c/IaaA8R7QGmu5KC3z3WxivWhcrOQ3Aa0AuvNp63QTqIEf/udP0rxU0KQbYiO0HxZW4bUlGQ==" saltValue="nZ3MVT3PDopElDT8EgI/f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38820857.350771733</v>
      </c>
      <c r="D9" s="8" t="s">
        <v>3</v>
      </c>
      <c r="E9" s="1"/>
    </row>
    <row r="10" spans="1:5" ht="15" customHeight="1" x14ac:dyDescent="0.25">
      <c r="A10" s="1"/>
      <c r="B10" s="26" t="s">
        <v>19</v>
      </c>
      <c r="C10" s="7">
        <f>SUM(C9:C9)*'Fane 15. Nøgletal'!C10</f>
        <v>2573822.8423561659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-285780.80048478994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41108899.392643109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1368744.6223251964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-193415.5</v>
      </c>
      <c r="D22" s="11" t="s">
        <v>3</v>
      </c>
      <c r="E22" s="1"/>
    </row>
    <row r="23" spans="1:5" x14ac:dyDescent="0.25">
      <c r="A23" s="1"/>
      <c r="B23" s="33" t="s">
        <v>130</v>
      </c>
      <c r="C23" s="12">
        <f>SUM(C14,C16,C18,C20,C22)</f>
        <v>42284228.514968306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iqup5S6PqUtjKQ3RlZSeU//CPK/VVtm4/aFi2oT5pPJn7lRxOeU5a5G++Fnrb92p9n9xgPRg9XfiTlyxNlskQ==" saltValue="xwxkGBYqCETqqO08E9j6N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41108899.392643109</v>
      </c>
      <c r="D9" s="8" t="s">
        <v>3</v>
      </c>
      <c r="E9" s="1"/>
    </row>
    <row r="10" spans="1:5" ht="15" customHeight="1" x14ac:dyDescent="0.25">
      <c r="A10" s="1"/>
      <c r="B10" s="26" t="s">
        <v>19</v>
      </c>
      <c r="C10" s="7">
        <f>SUM(C9:C9)*'Fane 15. Nøgletal'!C10</f>
        <v>2725520.029732238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-298633.50620579295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43535785.916169554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1450490.0441853572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-193415.5</v>
      </c>
      <c r="D20" s="11" t="s">
        <v>3</v>
      </c>
      <c r="E20" s="1"/>
    </row>
    <row r="21" spans="1:5" x14ac:dyDescent="0.25">
      <c r="A21" s="1"/>
      <c r="B21" s="33" t="s">
        <v>160</v>
      </c>
      <c r="C21" s="12">
        <f>SUM(C14,C16,C18,C20)</f>
        <v>44792860.460354909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mMJspcISOOiMgCU8L9nNmEFmimfIZ2OwEdaf4V/NdWfaYrjFNapkO9gI3PYT1sY6h/ucJlKjbz6UMql80BI0A==" saltValue="5g3jfKRI9qqijcSTShtzT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30392767.45733225</v>
      </c>
      <c r="D9" s="8" t="s">
        <v>3</v>
      </c>
      <c r="E9" s="1"/>
    </row>
    <row r="10" spans="1:5" ht="15" customHeight="1" x14ac:dyDescent="0.25">
      <c r="A10" s="1"/>
      <c r="B10" s="64" t="s">
        <v>35</v>
      </c>
      <c r="C10" s="7">
        <v>125753.24159999999</v>
      </c>
      <c r="D10" s="8" t="s">
        <v>3</v>
      </c>
      <c r="E10" s="1"/>
    </row>
    <row r="11" spans="1:5" ht="15" customHeight="1" x14ac:dyDescent="0.25">
      <c r="A11" s="1"/>
      <c r="B11" s="64" t="s">
        <v>36</v>
      </c>
      <c r="C11" s="9">
        <v>773786.87119999994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2528418.4516666853</v>
      </c>
      <c r="D16" s="8" t="s">
        <v>3</v>
      </c>
      <c r="E16" s="1"/>
    </row>
    <row r="17" spans="1:5" ht="15" customHeight="1" x14ac:dyDescent="0.25">
      <c r="A17" s="1"/>
      <c r="B17" s="64" t="s">
        <v>10</v>
      </c>
      <c r="C17" s="38">
        <v>0</v>
      </c>
      <c r="D17" s="8" t="s">
        <v>3</v>
      </c>
      <c r="E17" s="1"/>
    </row>
    <row r="18" spans="1:5" ht="15" customHeight="1" x14ac:dyDescent="0.25">
      <c r="A18" s="1"/>
      <c r="B18" s="64" t="s">
        <v>22</v>
      </c>
      <c r="C18" s="38">
        <v>-246450.63812335575</v>
      </c>
      <c r="D18" s="8" t="s">
        <v>3</v>
      </c>
      <c r="E18" s="1"/>
    </row>
    <row r="19" spans="1:5" ht="15" customHeight="1" x14ac:dyDescent="0.25">
      <c r="A19" s="1"/>
      <c r="B19" s="64" t="s">
        <v>23</v>
      </c>
      <c r="C19" s="38">
        <v>0</v>
      </c>
      <c r="D19" s="8" t="s">
        <v>3</v>
      </c>
      <c r="E19" s="43"/>
    </row>
    <row r="20" spans="1:5" ht="15" customHeight="1" x14ac:dyDescent="0.25">
      <c r="A20" s="1"/>
      <c r="B20" s="82" t="s">
        <v>21</v>
      </c>
      <c r="C20" s="10">
        <v>33574275.383675575</v>
      </c>
      <c r="D20" s="11" t="s">
        <v>3</v>
      </c>
      <c r="E20" s="1"/>
    </row>
    <row r="21" spans="1:5" ht="15" customHeight="1" x14ac:dyDescent="0.25">
      <c r="A21" s="1"/>
      <c r="B21" s="33" t="s">
        <v>12</v>
      </c>
      <c r="C21" s="28"/>
      <c r="D21" s="19"/>
      <c r="E21" s="1"/>
    </row>
    <row r="22" spans="1:5" ht="15" customHeight="1" x14ac:dyDescent="0.25">
      <c r="A22" s="1"/>
      <c r="B22" s="31" t="s">
        <v>12</v>
      </c>
      <c r="C22" s="10">
        <v>2080891.6798271998</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-427231</v>
      </c>
      <c r="D32" s="11" t="s">
        <v>3</v>
      </c>
      <c r="E32" s="1"/>
    </row>
    <row r="33" spans="1:5" x14ac:dyDescent="0.25">
      <c r="A33" s="1"/>
      <c r="B33" s="33" t="s">
        <v>128</v>
      </c>
      <c r="C33" s="28"/>
      <c r="D33" s="19"/>
      <c r="E33" s="1"/>
    </row>
    <row r="34" spans="1:5" ht="15.4" customHeight="1" x14ac:dyDescent="0.25">
      <c r="A34" s="1"/>
      <c r="B34" s="31" t="s">
        <v>128</v>
      </c>
      <c r="C34" s="10">
        <v>-135782</v>
      </c>
      <c r="D34" s="11" t="s">
        <v>3</v>
      </c>
      <c r="E34" s="1"/>
    </row>
    <row r="35" spans="1:5" ht="15.4" customHeight="1" x14ac:dyDescent="0.25">
      <c r="A35" s="1"/>
      <c r="B35" s="30" t="s">
        <v>75</v>
      </c>
      <c r="C35" s="28"/>
      <c r="D35" s="19"/>
      <c r="E35" s="1"/>
    </row>
    <row r="36" spans="1:5" x14ac:dyDescent="0.25">
      <c r="A36" s="1"/>
      <c r="B36" s="67" t="s">
        <v>76</v>
      </c>
      <c r="C36" s="10">
        <v>-193415.5</v>
      </c>
      <c r="D36" s="11" t="s">
        <v>3</v>
      </c>
      <c r="E36" s="1"/>
    </row>
    <row r="37" spans="1:5" x14ac:dyDescent="0.25">
      <c r="A37" s="1"/>
      <c r="B37" s="30" t="s">
        <v>213</v>
      </c>
      <c r="C37" s="28"/>
      <c r="D37" s="19"/>
      <c r="E37" s="1"/>
    </row>
    <row r="38" spans="1:5" x14ac:dyDescent="0.25">
      <c r="A38" s="1"/>
      <c r="B38" s="67" t="s">
        <v>214</v>
      </c>
      <c r="C38" s="10">
        <v>728921.46883941209</v>
      </c>
      <c r="D38" s="11" t="s">
        <v>3</v>
      </c>
      <c r="E38" s="1"/>
    </row>
    <row r="39" spans="1:5" x14ac:dyDescent="0.25">
      <c r="A39" s="1"/>
      <c r="B39" s="33" t="s">
        <v>65</v>
      </c>
      <c r="C39" s="45">
        <v>35627660.032342188</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OhWV4y31rzLoDMJClJZ2usJe6UEMHuvWBjryKaRlfadijXjSm2X05uU/iwWrln0szWfGPaZ02tLRPp198hOsTQ==" saltValue="O/TcxD5T0yPijhv93k0V5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12186617.802646505</v>
      </c>
      <c r="D9" s="14" t="s">
        <v>3</v>
      </c>
      <c r="E9" s="1"/>
    </row>
    <row r="10" spans="1:5" x14ac:dyDescent="0.25">
      <c r="A10" s="1"/>
      <c r="B10" s="65" t="s">
        <v>125</v>
      </c>
      <c r="C10" s="23">
        <f>('Fane 3. Omkostninger i ØR2024'!C10+'Fane 3. Omkostninger i ØR2024'!C12+'Fane 3. Omkostninger i ØR2024'!C14)*(1+'Fane 15. Nøgletal'!C9)</f>
        <v>135914.10352127999</v>
      </c>
      <c r="D10" s="14" t="s">
        <v>3</v>
      </c>
      <c r="E10" s="1"/>
    </row>
    <row r="11" spans="1:5" x14ac:dyDescent="0.25">
      <c r="A11" s="1"/>
      <c r="B11" s="65" t="s">
        <v>131</v>
      </c>
      <c r="C11" s="23">
        <f>C9*'Fane 15. Nøgletal'!C21+C10*'Fane 15. Nøgletal'!C21</f>
        <v>246450.63812335569</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13051828.634502418</v>
      </c>
      <c r="D15" s="14" t="s">
        <v>3</v>
      </c>
      <c r="E15" s="1"/>
    </row>
    <row r="16" spans="1:5" x14ac:dyDescent="0.25">
      <c r="A16" s="1"/>
      <c r="B16" s="65" t="s">
        <v>184</v>
      </c>
      <c r="C16" s="23">
        <f>('Fane 2.1. Økonomisk ramme 2025'!C10+'Fane 2.1. Økonomisk ramme 2025'!C12+'Fane 2.1. Økonomisk ramme 2025'!C14)*(1+'Fane 15. Nøgletal'!C10)</f>
        <v>33724.429161090004</v>
      </c>
      <c r="D16" s="14" t="s">
        <v>3</v>
      </c>
      <c r="E16" s="1"/>
    </row>
    <row r="17" spans="1:5" x14ac:dyDescent="0.25">
      <c r="A17" s="1"/>
      <c r="B17" s="65" t="s">
        <v>132</v>
      </c>
      <c r="C17" s="23">
        <f>C15*'Fane 15. Nøgletal'!C21+C16*'Fane 15. Nøgletal'!C21</f>
        <v>261711.06127327017</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13674062.727148712</v>
      </c>
      <c r="D21" s="14" t="s">
        <v>3</v>
      </c>
      <c r="E21" s="1"/>
    </row>
    <row r="22" spans="1:5" x14ac:dyDescent="0.25">
      <c r="A22" s="1"/>
      <c r="B22" s="65" t="s">
        <v>196</v>
      </c>
      <c r="C22" s="23">
        <f>C21*'Fane 15. Nøgletal'!C21</f>
        <v>273481.25454297423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14289040.024239497</v>
      </c>
      <c r="D26" s="14" t="s">
        <v>3</v>
      </c>
      <c r="E26" s="1"/>
    </row>
    <row r="27" spans="1:5" x14ac:dyDescent="0.25">
      <c r="A27" s="1"/>
      <c r="B27" s="65" t="s">
        <v>194</v>
      </c>
      <c r="C27" s="23">
        <f>C26*'Fane 15. Nøgletal'!C21</f>
        <v>285780.80048478994</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14931675.310289646</v>
      </c>
      <c r="D31" s="14" t="s">
        <v>3</v>
      </c>
      <c r="E31" s="1"/>
    </row>
    <row r="32" spans="1:5" x14ac:dyDescent="0.25">
      <c r="A32" s="1"/>
      <c r="B32" s="65" t="s">
        <v>195</v>
      </c>
      <c r="C32" s="23">
        <f>C31*'Fane 15. Nøgletal'!C21</f>
        <v>298633.50620579295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MPbtKSWJEfwcI0VgiLHbfxTVPbtk1/rho1J+OXZrImiPah4+Wf9Ki4716bkZg+p7VEYQxiJ6SqQfFRP3mj6mg==" saltValue="4uiEwQl09mnPdLJKj05d/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23672693.541468248</v>
      </c>
      <c r="D9" s="14" t="s">
        <v>3</v>
      </c>
      <c r="E9" s="1"/>
    </row>
    <row r="10" spans="1:5" x14ac:dyDescent="0.25">
      <c r="A10" s="1"/>
      <c r="B10" s="65" t="s">
        <v>126</v>
      </c>
      <c r="C10" s="23">
        <f>('Fane 3. Omkostninger i ØR2024'!C11+'Fane 3. Omkostninger i ØR2024'!C13+'Fane 3. Omkostninger i ØR2024'!C15)*(1+'Fane 15. Nøgletal'!C9)</f>
        <v>836308.8503929599</v>
      </c>
      <c r="D10" s="14" t="s">
        <v>3</v>
      </c>
      <c r="E10" s="1"/>
    </row>
    <row r="11" spans="1:5" x14ac:dyDescent="0.25">
      <c r="A11" s="1"/>
      <c r="B11" s="65" t="s">
        <v>135</v>
      </c>
      <c r="C11" s="7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26489329.785123594</v>
      </c>
      <c r="D15" s="14" t="s">
        <v>3</v>
      </c>
      <c r="E15" s="1"/>
    </row>
    <row r="16" spans="1:5" x14ac:dyDescent="0.25">
      <c r="A16" s="1"/>
      <c r="B16" s="65" t="s">
        <v>185</v>
      </c>
      <c r="C16" s="23">
        <f>('Fane 2.1. Økonomisk ramme 2025'!C11+'Fane 2.1. Økonomisk ramme 2025'!C13+'Fane 2.1. Økonomisk ramme 2025'!C15)*(1+'Fane 15. Nøgletal'!C10)</f>
        <v>604455.33369625011</v>
      </c>
      <c r="D16" s="14" t="s">
        <v>3</v>
      </c>
      <c r="E16" s="1"/>
    </row>
    <row r="17" spans="1:5" x14ac:dyDescent="0.25">
      <c r="A17" s="1"/>
      <c r="B17" s="65" t="s">
        <v>137</v>
      </c>
      <c r="C17" s="7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28890103.072197601</v>
      </c>
      <c r="D21" s="14" t="s">
        <v>3</v>
      </c>
      <c r="E21" s="1"/>
    </row>
    <row r="22" spans="1:5" x14ac:dyDescent="0.25">
      <c r="A22" s="1"/>
      <c r="B22" s="65" t="s">
        <v>197</v>
      </c>
      <c r="C22" s="7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30805516.905884303</v>
      </c>
      <c r="D26" s="14" t="s">
        <v>3</v>
      </c>
      <c r="E26" s="1"/>
    </row>
    <row r="27" spans="1:5" x14ac:dyDescent="0.25">
      <c r="A27" s="1"/>
      <c r="B27" s="65" t="s">
        <v>198</v>
      </c>
      <c r="C27" s="7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32847922.676744435</v>
      </c>
      <c r="D31" s="14" t="s">
        <v>3</v>
      </c>
      <c r="E31" s="1"/>
    </row>
    <row r="32" spans="1:5" x14ac:dyDescent="0.25">
      <c r="A32" s="1"/>
      <c r="B32" s="65" t="s">
        <v>199</v>
      </c>
      <c r="C32" s="7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VDXNa0DIr8e1GIKd+hDKZfIoxwVhoG10bN+GTFBiYTqFRO8B368U8JJdwz7dYZJ8cBZnd/k4egVmHazxBVbNw==" saltValue="4+WbQfxNLId/wC7U83vz7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7Kaq8+IRfHp8yHSuNuy1v47UcSbunxQP4fROL/PeNM2LLkbiZikWLBssnGQPJIpu+9ivzvf4t8nByw12ZeG1nQ==" saltValue="bGByfsiYFjEZLLARRxw7i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2025-12-10T10:27:37Z</dcterms:modified>
</cp:coreProperties>
</file>