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Denne_projektmappe" defaultThemeVersion="124226"/>
  <mc:AlternateContent xmlns:mc="http://schemas.openxmlformats.org/markup-compatibility/2006">
    <mc:Choice Requires="x15">
      <x15ac:absPath xmlns:x15ac="http://schemas.microsoft.com/office/spreadsheetml/2010/11/ac" url="E:\VAND\Sagsbehandling\Spildevand\RINGKØBING-SKJERN RENSEANLÆG AS (S111)\ØR2024\"/>
    </mc:Choice>
  </mc:AlternateContent>
  <xr:revisionPtr revIDLastSave="0" documentId="13_ncr:1_{48893E4E-1B1A-4745-A6A4-922DC5ED86F9}"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s>
  <calcPr calcId="191029"/>
</workbook>
</file>

<file path=xl/calcChain.xml><?xml version="1.0" encoding="utf-8"?>
<calcChain xmlns="http://schemas.openxmlformats.org/spreadsheetml/2006/main">
  <c r="E16" i="44" l="1"/>
  <c r="E18" i="44" s="1"/>
  <c r="E17" i="44"/>
  <c r="E25" i="44" l="1"/>
  <c r="E29" i="44" s="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C39" i="2" s="1"/>
  <c r="G64" i="36"/>
  <c r="G65" i="36" s="1"/>
  <c r="C13" i="22" s="1"/>
  <c r="G69" i="36" l="1"/>
  <c r="G70" i="36" s="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<sst xmlns="http://schemas.openxmlformats.org/spreadsheetml/2006/main" count="655" uniqueCount="290">
  <si>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</si>
  <si>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</si>
  <si>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</si>
  <si>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</si>
  <si>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</si>
  <si>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</si>
  <si>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</si>
  <si>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</si>
  <si>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</si>
  <si>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</si>
  <si>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</si>
  <si>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</si>
  <si>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</si>
  <si>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</si>
  <si>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</si>
  <si>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</si>
  <si>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</si>
  <si>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</si>
  <si>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</si>
  <si>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</si>
  <si>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</si>
  <si>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</si>
  <si>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</si>
  <si>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</si>
  <si>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</si>
  <si>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</si>
  <si>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</si>
  <si>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</si>
  <si>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</si>
  <si>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</si>
  <si>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</si>
  <si>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</si>
  <si>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</si>
  <si>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</si>
  <si>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</si>
  <si>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</si>
  <si>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</si>
  <si>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</si>
  <si>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</si>
  <si>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</si>
  <si>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</si>
  <si>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</si>
  <si>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</si>
  <si>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</si>
  <si>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</si>
  <si>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</si>
  <si>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</si>
  <si>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</si>
  <si>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</si>
  <si>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</si>
  <si>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</si>
  <si>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</si>
  <si>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</si>
  <si>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</si>
  <si>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</si>
  <si>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</si>
  <si>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</si>
  <si>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</si>
  <si>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</si>
  <si>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</si>
  <si>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</si>
  <si>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</si>
  <si>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</si>
  <si>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</si>
  <si>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</si>
  <si>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</si>
  <si>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</si>
  <si>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</si>
  <si>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</si>
  <si>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</si>
  <si>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</si>
  <si>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</si>
  <si>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</si>
  <si>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</si>
  <si>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</si>
  <si>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</si>
  <si>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</si>
  <si>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</si>
  <si>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</si>
  <si>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</si>
  <si>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</si>
  <si>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</si>
  <si>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</si>
  <si>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</si>
  <si>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</si>
  <si>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</si>
  <si>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</si>
  <si>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</si>
  <si>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</si>
  <si>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</si>
  <si>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</si>
  <si>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</si>
  <si>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</si>
  <si>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</si>
  <si>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</si>
  <si>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</si>
  <si>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</si>
  <si>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</si>
  <si>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</si>
  <si>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</si>
  <si>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</si>
  <si>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</si>
  <si>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</si>
  <si>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</si>
  <si>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</si>
  <si>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</si>
  <si>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</si>
  <si>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</si>
  <si>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</si>
  <si>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</si>
  <si>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</si>
  <si>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</si>
  <si>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</si>
  <si>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</si>
  <si>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</si>
  <si>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</si>
  <si>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</si>
  <si>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</si>
  <si>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</si>
  <si>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</si>
  <si>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</si>
  <si>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</si>
  <si>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</si>
  <si>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</si>
  <si>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</si>
  <si>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</si>
  <si>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</si>
  <si>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</si>
  <si>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</si>
  <si>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</si>
  <si>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</si>
  <si>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</si>
  <si>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</si>
  <si>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</si>
  <si>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</si>
  <si>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</si>
  <si>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</si>
  <si>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</si>
  <si>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</si>
  <si>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</si>
  <si>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</si>
  <si>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</si>
  <si>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</si>
  <si>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</si>
  <si>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</si>
  <si>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</si>
  <si>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</si>
  <si>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</si>
  <si>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</si>
  <si>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</si>
  <si>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</si>
  <si>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</si>
  <si>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</si>
  <si>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</si>
  <si>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</si>
  <si>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</si>
  <si>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</si>
  <si>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</si>
  <si>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</si>
  <si>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</si>
  <si>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</si>
  <si>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</si>
  <si>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</si>
  <si>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</si>
  <si>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</si>
  <si>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</si>
  <si>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</si>
  <si>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</si>
  <si>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</si>
  <si>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</si>
  <si>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</si>
  <si>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</si>
  <si>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</si>
  <si>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</si>
  <si>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</si>
  <si>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</si>
  <si>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</si>
  <si>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</si>
  <si>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</si>
  <si>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</si>
  <si>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</si>
  <si>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</si>
  <si>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</si>
  <si>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</si>
  <si>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</si>
  <si>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</si>
  <si>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</si>
  <si>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</si>
  <si>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</si>
  <si>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</si>
  <si>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</si>
  <si>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</si>
  <si>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</si>
  <si>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</si>
  <si>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</si>
  <si>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</si>
  <si>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</si>
  <si>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</si>
  <si>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</si>
  <si>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</si>
  <si>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</si>
  <si>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</si>
  <si>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</si>
  <si>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</si>
  <si>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</si>
  <si>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</si>
  <si>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</si>
  <si>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</si>
  <si>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</si>
  <si>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</si>
  <si>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</si>
  <si>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</si>
  <si>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</si>
  <si>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</si>
  <si>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</si>
  <si>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</si>
  <si>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</si>
  <si>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</si>
  <si>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</si>
  <si>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</si>
  <si>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</si>
  <si>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</si>
  <si>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</si>
  <si>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</si>
  <si>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</si>
  <si>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</si>
  <si>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</si>
  <si>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</si>
  <si>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</si>
  <si>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</si>
  <si>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</si>
  <si>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</si>
  <si>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</si>
  <si>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</si>
  <si>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</si>
  <si>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</si>
  <si>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</si>
  <si>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</si>
  <si>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</si>
  <si>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</si>
  <si>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</si>
  <si>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</si>
  <si>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</si>
  <si>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</si>
  <si>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</si>
  <si>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</si>
  <si>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</si>
  <si>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</si>
  <si>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</si>
  <si>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</si>
  <si>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</si>
  <si>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</si>
  <si>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</si>
  <si>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</si>
  <si>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</si>
  <si>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</si>
  <si>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</si>
  <si>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</si>
  <si>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</si>
  <si>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</si>
  <si>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</si>
  <si>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</si>
  <si>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</si>
  <si>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</si>
  <si>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</si>
  <si>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</si>
  <si>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</si>
  <si>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</si>
  <si>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</si>
  <si>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</si>
  <si>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</si>
  <si>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</si>
  <si>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</si>
  <si>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</si>
  <si>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Ejendomsskatter</t>
  </si>
  <si>
    <t>Ingen engangstillæg</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</si>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</sst>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96" zoomScaleNormal="100" zoomScalePageLayoutView="96" workbookViewId="0">
      <selection activeCell="A8" sqref="A8"/>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9" t="s">
        <v>252</v>
      </c>
      <c r="E8" s="99"/>
      <c r="F8" s="99"/>
      <c r="G8" s="9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8" t="s">
        <v>5</v>
      </c>
      <c r="E11" s="98"/>
      <c r="F11" s="98"/>
      <c r="G11" s="98"/>
      <c r="H11" s="5"/>
      <c r="I11" s="1"/>
    </row>
    <row r="12" spans="1:9" x14ac:dyDescent="0.25">
      <c r="A12" s="1"/>
      <c r="B12" s="1"/>
      <c r="C12" s="1"/>
      <c r="D12" s="1"/>
      <c r="E12" s="1"/>
      <c r="F12" s="1"/>
      <c r="G12" s="1"/>
      <c r="H12" s="5"/>
      <c r="I12" s="1"/>
    </row>
    <row r="13" spans="1:9" x14ac:dyDescent="0.25">
      <c r="A13" s="1"/>
      <c r="B13" s="1"/>
      <c r="C13" s="6" t="s">
        <v>6</v>
      </c>
      <c r="D13" s="103" t="s">
        <v>196</v>
      </c>
      <c r="E13" s="104"/>
      <c r="F13" s="104"/>
      <c r="G13" s="105"/>
      <c r="H13" s="5"/>
      <c r="I13" s="1"/>
    </row>
    <row r="14" spans="1:9" x14ac:dyDescent="0.25">
      <c r="A14" s="1"/>
      <c r="B14" s="1"/>
      <c r="C14" s="6" t="s">
        <v>16</v>
      </c>
      <c r="D14" s="88" t="s">
        <v>197</v>
      </c>
      <c r="E14" s="89"/>
      <c r="F14" s="89"/>
      <c r="G14" s="90"/>
      <c r="H14" s="5"/>
      <c r="I14" s="1"/>
    </row>
    <row r="15" spans="1:9" x14ac:dyDescent="0.25">
      <c r="A15" s="1"/>
      <c r="B15" s="1"/>
      <c r="C15" s="6" t="s">
        <v>31</v>
      </c>
      <c r="D15" s="88" t="s">
        <v>262</v>
      </c>
      <c r="E15" s="89"/>
      <c r="F15" s="89"/>
      <c r="G15" s="90"/>
      <c r="H15" s="5"/>
      <c r="I15" s="1"/>
    </row>
    <row r="16" spans="1:9" x14ac:dyDescent="0.25">
      <c r="A16" s="1"/>
      <c r="B16" s="1"/>
      <c r="C16" s="6" t="s">
        <v>32</v>
      </c>
      <c r="D16" s="88" t="s">
        <v>263</v>
      </c>
      <c r="E16" s="89"/>
      <c r="F16" s="89"/>
      <c r="G16" s="90"/>
      <c r="H16" s="5"/>
      <c r="I16" s="1"/>
    </row>
    <row r="17" spans="1:9" x14ac:dyDescent="0.25">
      <c r="A17" s="1"/>
      <c r="B17" s="1"/>
      <c r="C17" s="6" t="s">
        <v>101</v>
      </c>
      <c r="D17" s="88" t="s">
        <v>198</v>
      </c>
      <c r="E17" s="89"/>
      <c r="F17" s="89"/>
      <c r="G17" s="90"/>
      <c r="H17" s="5"/>
      <c r="I17" s="1"/>
    </row>
    <row r="18" spans="1:9" x14ac:dyDescent="0.25">
      <c r="A18" s="1"/>
      <c r="B18" s="1"/>
      <c r="C18" s="6" t="s">
        <v>88</v>
      </c>
      <c r="D18" s="100" t="s">
        <v>79</v>
      </c>
      <c r="E18" s="101"/>
      <c r="F18" s="101"/>
      <c r="G18" s="102"/>
      <c r="H18" s="5"/>
      <c r="I18" s="1"/>
    </row>
    <row r="19" spans="1:9" x14ac:dyDescent="0.25">
      <c r="A19" s="1"/>
      <c r="B19" s="1"/>
      <c r="C19" s="6" t="s">
        <v>89</v>
      </c>
      <c r="D19" s="100" t="s">
        <v>80</v>
      </c>
      <c r="E19" s="101"/>
      <c r="F19" s="101"/>
      <c r="G19" s="102"/>
      <c r="H19" s="5"/>
      <c r="I19" s="1"/>
    </row>
    <row r="20" spans="1:9" x14ac:dyDescent="0.25">
      <c r="A20" s="1"/>
      <c r="B20" s="1"/>
      <c r="C20" s="6" t="s">
        <v>7</v>
      </c>
      <c r="D20" s="100" t="s">
        <v>10</v>
      </c>
      <c r="E20" s="101"/>
      <c r="F20" s="101"/>
      <c r="G20" s="102"/>
      <c r="H20" s="5"/>
      <c r="I20" s="1"/>
    </row>
    <row r="21" spans="1:9" x14ac:dyDescent="0.25">
      <c r="A21" s="1"/>
      <c r="B21" s="1"/>
      <c r="C21" s="6" t="s">
        <v>90</v>
      </c>
      <c r="D21" s="92" t="s">
        <v>12</v>
      </c>
      <c r="E21" s="93"/>
      <c r="F21" s="93"/>
      <c r="G21" s="94"/>
      <c r="H21" s="5"/>
      <c r="I21" s="1"/>
    </row>
    <row r="22" spans="1:9" x14ac:dyDescent="0.25">
      <c r="A22" s="1"/>
      <c r="B22" s="1"/>
      <c r="C22" s="6" t="s">
        <v>71</v>
      </c>
      <c r="D22" s="95" t="s">
        <v>199</v>
      </c>
      <c r="E22" s="96"/>
      <c r="F22" s="96"/>
      <c r="G22" s="97"/>
      <c r="H22" s="5"/>
      <c r="I22" s="1"/>
    </row>
    <row r="23" spans="1:9" x14ac:dyDescent="0.25">
      <c r="A23" s="1"/>
      <c r="B23" s="1"/>
      <c r="C23" s="6" t="s">
        <v>8</v>
      </c>
      <c r="D23" s="95" t="s">
        <v>181</v>
      </c>
      <c r="E23" s="96"/>
      <c r="F23" s="96"/>
      <c r="G23" s="97"/>
      <c r="H23" s="5"/>
      <c r="I23" s="1"/>
    </row>
    <row r="24" spans="1:9" x14ac:dyDescent="0.25">
      <c r="A24" s="1"/>
      <c r="B24" s="1"/>
      <c r="C24" s="6" t="s">
        <v>9</v>
      </c>
      <c r="D24" s="95" t="s">
        <v>200</v>
      </c>
      <c r="E24" s="96"/>
      <c r="F24" s="96"/>
      <c r="G24" s="97"/>
      <c r="H24" s="5"/>
      <c r="I24" s="1"/>
    </row>
    <row r="25" spans="1:9" x14ac:dyDescent="0.25">
      <c r="A25" s="1"/>
      <c r="B25" s="1"/>
      <c r="C25" s="6" t="s">
        <v>166</v>
      </c>
      <c r="D25" s="95" t="s">
        <v>160</v>
      </c>
      <c r="E25" s="96"/>
      <c r="F25" s="96"/>
      <c r="G25" s="97"/>
      <c r="H25" s="1"/>
      <c r="I25" s="1"/>
    </row>
    <row r="26" spans="1:9" x14ac:dyDescent="0.25">
      <c r="A26" s="1"/>
      <c r="B26" s="1"/>
      <c r="C26" s="6" t="s">
        <v>167</v>
      </c>
      <c r="D26" s="95" t="s">
        <v>72</v>
      </c>
      <c r="E26" s="96"/>
      <c r="F26" s="96"/>
      <c r="G26" s="97"/>
      <c r="H26" s="1"/>
      <c r="I26" s="1"/>
    </row>
    <row r="27" spans="1:9" x14ac:dyDescent="0.25">
      <c r="A27" s="1"/>
      <c r="B27" s="1"/>
      <c r="C27" s="6" t="s">
        <v>168</v>
      </c>
      <c r="D27" s="95" t="s">
        <v>73</v>
      </c>
      <c r="E27" s="96"/>
      <c r="F27" s="96"/>
      <c r="G27" s="97"/>
      <c r="H27" s="1"/>
      <c r="I27" s="1"/>
    </row>
    <row r="28" spans="1:9" x14ac:dyDescent="0.25">
      <c r="A28" s="1"/>
      <c r="B28" s="1"/>
      <c r="C28" s="6" t="s">
        <v>15</v>
      </c>
      <c r="D28" s="95" t="s">
        <v>74</v>
      </c>
      <c r="E28" s="96"/>
      <c r="F28" s="96"/>
      <c r="G28" s="97"/>
      <c r="H28" s="1"/>
      <c r="I28" s="1"/>
    </row>
    <row r="29" spans="1:9" x14ac:dyDescent="0.25">
      <c r="A29" s="1"/>
      <c r="B29" s="1"/>
      <c r="C29" s="6" t="s">
        <v>34</v>
      </c>
      <c r="D29" s="95" t="s">
        <v>114</v>
      </c>
      <c r="E29" s="96"/>
      <c r="F29" s="96"/>
      <c r="G29" s="97"/>
      <c r="H29" s="1"/>
      <c r="I29" s="1"/>
    </row>
    <row r="30" spans="1:9" x14ac:dyDescent="0.25">
      <c r="A30" s="1"/>
      <c r="B30" s="1"/>
      <c r="C30" s="6" t="s">
        <v>35</v>
      </c>
      <c r="D30" s="95" t="s">
        <v>33</v>
      </c>
      <c r="E30" s="96"/>
      <c r="F30" s="96"/>
      <c r="G30" s="97"/>
      <c r="H30" s="1"/>
      <c r="I30" s="1"/>
    </row>
    <row r="31" spans="1:9" x14ac:dyDescent="0.25">
      <c r="A31" s="1"/>
      <c r="B31" s="1"/>
      <c r="C31" s="6" t="s">
        <v>169</v>
      </c>
      <c r="D31" s="106" t="s">
        <v>87</v>
      </c>
      <c r="E31" s="107"/>
      <c r="F31" s="107"/>
      <c r="G31" s="10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P2YquDOSp1D3moT2Ojmm27Edmfg2VGfPPvM9mqBXPuXrpa8H3k5BWl1WtUiz2afJtSDGxTKlYwEsIasZ4R7HrA==" saltValue="mE25FFWehkn0ZWb8rvEkk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6" t="s">
        <v>224</v>
      </c>
      <c r="C8" s="117"/>
      <c r="D8" s="118"/>
      <c r="E8" s="1"/>
      <c r="F8" s="1"/>
    </row>
    <row r="9" spans="1:6" ht="15" customHeight="1" x14ac:dyDescent="0.25">
      <c r="A9" s="1"/>
      <c r="B9" s="27" t="s">
        <v>29</v>
      </c>
      <c r="C9" s="50" t="s">
        <v>225</v>
      </c>
      <c r="D9" s="11"/>
      <c r="E9" s="1"/>
      <c r="F9" s="1"/>
    </row>
    <row r="10" spans="1:6" ht="15" customHeight="1" x14ac:dyDescent="0.25">
      <c r="A10" s="1"/>
      <c r="B10" s="80" t="s">
        <v>272</v>
      </c>
      <c r="C10" s="9">
        <v>1519711</v>
      </c>
      <c r="D10" s="14" t="s">
        <v>3</v>
      </c>
      <c r="E10" s="1"/>
      <c r="F10" s="1"/>
    </row>
    <row r="11" spans="1:6" x14ac:dyDescent="0.25">
      <c r="A11" s="1"/>
      <c r="B11" s="29" t="s">
        <v>273</v>
      </c>
      <c r="C11" s="9">
        <v>114321</v>
      </c>
      <c r="D11" s="14" t="s">
        <v>3</v>
      </c>
      <c r="E11" s="1"/>
      <c r="F11" s="1"/>
    </row>
    <row r="12" spans="1:6" x14ac:dyDescent="0.25">
      <c r="A12" s="1"/>
      <c r="B12" s="80" t="s">
        <v>274</v>
      </c>
      <c r="C12" s="9">
        <v>318550</v>
      </c>
      <c r="D12" s="14" t="s">
        <v>3</v>
      </c>
      <c r="E12" s="1"/>
      <c r="F12" s="1"/>
    </row>
    <row r="13" spans="1:6" x14ac:dyDescent="0.25">
      <c r="A13" s="1"/>
      <c r="B13" s="80"/>
      <c r="C13" s="9"/>
      <c r="D13" s="14" t="s">
        <v>3</v>
      </c>
      <c r="E13" s="1"/>
      <c r="F13" s="1"/>
    </row>
    <row r="14" spans="1:6" x14ac:dyDescent="0.25">
      <c r="A14" s="1"/>
      <c r="B14" s="80"/>
      <c r="C14" s="9"/>
      <c r="D14" s="14" t="s">
        <v>3</v>
      </c>
      <c r="E14" s="1"/>
      <c r="F14" s="1"/>
    </row>
    <row r="15" spans="1:6" x14ac:dyDescent="0.25">
      <c r="A15" s="1"/>
      <c r="B15" s="80"/>
      <c r="C15" s="9"/>
      <c r="D15" s="14" t="s">
        <v>3</v>
      </c>
      <c r="E15" s="1"/>
      <c r="F15" s="1"/>
    </row>
    <row r="16" spans="1:6" x14ac:dyDescent="0.25">
      <c r="A16" s="1"/>
      <c r="B16" s="80"/>
      <c r="C16" s="9"/>
      <c r="D16" s="14" t="s">
        <v>3</v>
      </c>
      <c r="E16" s="1"/>
      <c r="F16" s="1"/>
    </row>
    <row r="17" spans="1:6" x14ac:dyDescent="0.25">
      <c r="A17" s="1"/>
      <c r="B17" s="80"/>
      <c r="C17" s="9"/>
      <c r="D17" s="14" t="s">
        <v>3</v>
      </c>
      <c r="E17" s="1"/>
      <c r="F17" s="1"/>
    </row>
    <row r="18" spans="1:6" x14ac:dyDescent="0.25">
      <c r="A18" s="1"/>
      <c r="B18" s="80"/>
      <c r="C18" s="9"/>
      <c r="D18" s="14" t="s">
        <v>3</v>
      </c>
      <c r="E18" s="1"/>
      <c r="F18" s="1"/>
    </row>
    <row r="19" spans="1:6" x14ac:dyDescent="0.25">
      <c r="A19" s="1"/>
      <c r="B19" s="80"/>
      <c r="C19" s="9"/>
      <c r="D19" s="14" t="s">
        <v>3</v>
      </c>
      <c r="E19" s="1"/>
      <c r="F19" s="1"/>
    </row>
    <row r="20" spans="1:6" x14ac:dyDescent="0.25">
      <c r="A20" s="1"/>
      <c r="B20" s="33" t="s">
        <v>226</v>
      </c>
      <c r="C20" s="12">
        <f>SUM(C10:C19)</f>
        <v>1952582</v>
      </c>
      <c r="D20" s="13" t="s">
        <v>3</v>
      </c>
      <c r="E20" s="1"/>
      <c r="F20" s="1"/>
    </row>
    <row r="21" spans="1:6" x14ac:dyDescent="0.25">
      <c r="A21" s="1"/>
      <c r="B21" s="33" t="s">
        <v>227</v>
      </c>
      <c r="C21" s="12">
        <f>C20*(1+'Fane 15. Nøgletal'!C16)^2</f>
        <v>2280866.9561484801</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6" t="s">
        <v>99</v>
      </c>
      <c r="C24" s="117"/>
      <c r="D24" s="118"/>
      <c r="E24" s="1"/>
      <c r="F24" s="1"/>
    </row>
    <row r="25" spans="1:6" x14ac:dyDescent="0.25">
      <c r="A25" s="1"/>
      <c r="B25" s="80" t="s">
        <v>109</v>
      </c>
      <c r="C25" s="9">
        <v>0</v>
      </c>
      <c r="D25" s="14" t="s">
        <v>3</v>
      </c>
      <c r="E25" s="1"/>
      <c r="F25" s="1"/>
    </row>
    <row r="26" spans="1:6" x14ac:dyDescent="0.25">
      <c r="A26" s="1"/>
      <c r="B26" s="80" t="s">
        <v>123</v>
      </c>
      <c r="C26" s="9">
        <v>0</v>
      </c>
      <c r="D26" s="14" t="s">
        <v>3</v>
      </c>
      <c r="E26" s="1"/>
      <c r="F26" s="1"/>
    </row>
    <row r="27" spans="1:6" x14ac:dyDescent="0.25">
      <c r="A27" s="1"/>
      <c r="B27" s="80" t="s">
        <v>142</v>
      </c>
      <c r="C27" s="9">
        <v>0</v>
      </c>
      <c r="D27" s="14" t="s">
        <v>3</v>
      </c>
      <c r="E27" s="1"/>
      <c r="F27" s="1"/>
    </row>
    <row r="28" spans="1:6" x14ac:dyDescent="0.25">
      <c r="A28" s="1"/>
      <c r="B28" s="34" t="s">
        <v>261</v>
      </c>
      <c r="C28" s="9">
        <v>0</v>
      </c>
      <c r="D28" s="38" t="s">
        <v>3</v>
      </c>
      <c r="E28" s="1"/>
      <c r="F28" s="1"/>
    </row>
    <row r="29" spans="1:6" x14ac:dyDescent="0.25">
      <c r="A29" s="1"/>
      <c r="B29" s="116"/>
      <c r="C29" s="117"/>
      <c r="D29" s="118"/>
      <c r="E29" s="1"/>
      <c r="F29" s="1"/>
    </row>
    <row r="30" spans="1:6" x14ac:dyDescent="0.25">
      <c r="A30" s="1"/>
      <c r="B30" s="1"/>
      <c r="C30" s="1"/>
      <c r="D30" s="1"/>
      <c r="E30" s="1"/>
      <c r="F30" s="1"/>
    </row>
    <row r="31" spans="1:6" x14ac:dyDescent="0.25">
      <c r="A31" s="1"/>
      <c r="B31" s="1"/>
      <c r="C31" s="1"/>
      <c r="D31" s="1"/>
      <c r="E31" s="1"/>
      <c r="F31" s="1"/>
    </row>
    <row r="32" spans="1:6" x14ac:dyDescent="0.25">
      <c r="A32" s="1"/>
      <c r="B32" s="116" t="s">
        <v>81</v>
      </c>
      <c r="C32" s="117"/>
      <c r="D32" s="118"/>
      <c r="E32" s="1"/>
      <c r="F32" s="1"/>
    </row>
    <row r="33" spans="1:6" x14ac:dyDescent="0.25">
      <c r="A33" s="1"/>
      <c r="B33" s="80" t="s">
        <v>109</v>
      </c>
      <c r="C33" s="9">
        <v>0</v>
      </c>
      <c r="D33" s="14" t="s">
        <v>3</v>
      </c>
      <c r="E33" s="1"/>
      <c r="F33" s="1"/>
    </row>
    <row r="34" spans="1:6" x14ac:dyDescent="0.25">
      <c r="A34" s="1"/>
      <c r="B34" s="80" t="s">
        <v>123</v>
      </c>
      <c r="C34" s="9">
        <v>0</v>
      </c>
      <c r="D34" s="14" t="s">
        <v>3</v>
      </c>
      <c r="E34" s="1"/>
      <c r="F34" s="1"/>
    </row>
    <row r="35" spans="1:6" x14ac:dyDescent="0.25">
      <c r="A35" s="1"/>
      <c r="B35" s="80" t="s">
        <v>142</v>
      </c>
      <c r="C35" s="9">
        <v>0</v>
      </c>
      <c r="D35" s="14" t="s">
        <v>3</v>
      </c>
      <c r="E35" s="1"/>
      <c r="F35" s="1"/>
    </row>
    <row r="36" spans="1:6" x14ac:dyDescent="0.25">
      <c r="A36" s="1"/>
      <c r="B36" s="34" t="s">
        <v>261</v>
      </c>
      <c r="C36" s="9">
        <v>0</v>
      </c>
      <c r="D36" s="38" t="s">
        <v>3</v>
      </c>
      <c r="E36" s="1"/>
      <c r="F36" s="1"/>
    </row>
    <row r="37" spans="1:6" x14ac:dyDescent="0.25">
      <c r="A37" s="1"/>
      <c r="B37" s="116"/>
      <c r="C37" s="117"/>
      <c r="D37" s="118"/>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TUQYDxglySjdu6x4Q4iqzX6XS0YvVRyqTetGTdGw6oxwk+kXzdZrXNyEN3nwmtUCgPYxQ/IxAh2xT/GZzXtjjA==" saltValue="7qOO5HEJdoovW2FrcOkCC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23BD6-DEC4-4363-B400-BF7A2C3BB9B5}">
  <sheetPr codeName="Ark12"/>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5" customHeight="1" x14ac:dyDescent="0.25">
      <c r="A7" s="1"/>
      <c r="B7" s="1"/>
      <c r="C7" s="1"/>
      <c r="D7" s="1"/>
      <c r="E7" s="1"/>
      <c r="F7" s="1"/>
      <c r="G7" s="1"/>
    </row>
    <row r="8" spans="1:7" ht="15" customHeight="1" x14ac:dyDescent="0.25">
      <c r="A8" s="1"/>
      <c r="B8" s="116" t="s">
        <v>137</v>
      </c>
      <c r="C8" s="117"/>
      <c r="D8" s="117"/>
      <c r="E8" s="117"/>
      <c r="F8" s="118"/>
      <c r="G8" s="1"/>
    </row>
    <row r="9" spans="1:7" ht="15" customHeight="1" x14ac:dyDescent="0.25">
      <c r="A9" s="1"/>
      <c r="B9" s="119" t="s">
        <v>276</v>
      </c>
      <c r="C9" s="120"/>
      <c r="D9" s="121"/>
      <c r="E9" s="9">
        <v>422311</v>
      </c>
      <c r="F9" s="14" t="s">
        <v>3</v>
      </c>
      <c r="G9" s="1"/>
    </row>
    <row r="10" spans="1:7" ht="15" customHeight="1" x14ac:dyDescent="0.25">
      <c r="A10" s="1"/>
      <c r="B10" s="119" t="s">
        <v>143</v>
      </c>
      <c r="C10" s="120"/>
      <c r="D10" s="121"/>
      <c r="E10" s="9">
        <v>-908432</v>
      </c>
      <c r="F10" s="14" t="s">
        <v>3</v>
      </c>
      <c r="G10" s="1"/>
    </row>
    <row r="11" spans="1:7" ht="15" customHeight="1" x14ac:dyDescent="0.25">
      <c r="A11" s="1"/>
      <c r="B11" s="119" t="s">
        <v>277</v>
      </c>
      <c r="C11" s="120"/>
      <c r="D11" s="121"/>
      <c r="E11" s="9">
        <v>-564524</v>
      </c>
      <c r="F11" s="14" t="s">
        <v>3</v>
      </c>
      <c r="G11" s="1"/>
    </row>
    <row r="12" spans="1:7" x14ac:dyDescent="0.25">
      <c r="A12" s="1"/>
      <c r="B12" s="33"/>
      <c r="C12" s="28"/>
      <c r="D12" s="28"/>
      <c r="E12" s="28"/>
      <c r="F12" s="19"/>
      <c r="G12" s="1"/>
    </row>
    <row r="13" spans="1:7" ht="42" customHeight="1" x14ac:dyDescent="0.25">
      <c r="A13" s="1"/>
      <c r="B13" s="113" t="s">
        <v>278</v>
      </c>
      <c r="C13" s="114"/>
      <c r="D13" s="114"/>
      <c r="E13" s="114"/>
      <c r="F13" s="115"/>
      <c r="G13" s="1"/>
    </row>
    <row r="14" spans="1:7" ht="15" customHeight="1" x14ac:dyDescent="0.25">
      <c r="A14" s="1"/>
      <c r="B14" s="1"/>
      <c r="C14" s="1"/>
      <c r="D14" s="1"/>
      <c r="E14" s="1"/>
      <c r="F14" s="1"/>
      <c r="G14" s="1"/>
    </row>
    <row r="15" spans="1:7" x14ac:dyDescent="0.25">
      <c r="A15" s="1"/>
      <c r="B15" s="74" t="s">
        <v>279</v>
      </c>
      <c r="C15" s="75"/>
      <c r="D15" s="75"/>
      <c r="E15" s="75"/>
      <c r="F15" s="76"/>
      <c r="G15" s="1"/>
    </row>
    <row r="16" spans="1:7" x14ac:dyDescent="0.25">
      <c r="A16" s="1"/>
      <c r="B16" s="77" t="s">
        <v>280</v>
      </c>
      <c r="C16" s="78"/>
      <c r="D16" s="79"/>
      <c r="E16" s="9">
        <f>IF(E11&lt;0,E11,0)</f>
        <v>-564524</v>
      </c>
      <c r="F16" s="14" t="s">
        <v>3</v>
      </c>
      <c r="G16" s="1"/>
    </row>
    <row r="17" spans="1:7" x14ac:dyDescent="0.25">
      <c r="A17" s="1"/>
      <c r="B17" s="77" t="s">
        <v>281</v>
      </c>
      <c r="C17" s="78"/>
      <c r="D17" s="79"/>
      <c r="E17" s="9">
        <f>IF(SUM(E10)&gt;0,SUM(E10),0)</f>
        <v>0</v>
      </c>
      <c r="F17" s="14" t="s">
        <v>3</v>
      </c>
      <c r="G17" s="1"/>
    </row>
    <row r="18" spans="1:7" x14ac:dyDescent="0.25">
      <c r="A18" s="1"/>
      <c r="B18" s="81" t="s">
        <v>282</v>
      </c>
      <c r="C18" s="82"/>
      <c r="D18" s="83"/>
      <c r="E18" s="62">
        <f>IF(SUM(E16:E17)&gt;0,0,SUM(E16:E17))</f>
        <v>-564524</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4" t="s">
        <v>283</v>
      </c>
      <c r="C21" s="75"/>
      <c r="D21" s="75"/>
      <c r="E21" s="75"/>
      <c r="F21" s="76"/>
      <c r="G21" s="1"/>
    </row>
    <row r="22" spans="1:7" x14ac:dyDescent="0.25">
      <c r="A22" s="1"/>
      <c r="B22" s="77" t="s">
        <v>284</v>
      </c>
      <c r="C22" s="78"/>
      <c r="D22" s="79"/>
      <c r="E22" s="9">
        <v>33416351</v>
      </c>
      <c r="F22" s="14" t="s">
        <v>3</v>
      </c>
      <c r="G22" s="1"/>
    </row>
    <row r="23" spans="1:7" x14ac:dyDescent="0.25">
      <c r="A23" s="1"/>
      <c r="B23" s="77" t="s">
        <v>285</v>
      </c>
      <c r="C23" s="78"/>
      <c r="D23" s="79"/>
      <c r="E23" s="9">
        <v>35030899</v>
      </c>
      <c r="F23" s="14" t="s">
        <v>3</v>
      </c>
      <c r="G23" s="1"/>
    </row>
    <row r="24" spans="1:7" x14ac:dyDescent="0.25">
      <c r="A24" s="1"/>
      <c r="B24" s="77" t="s">
        <v>30</v>
      </c>
      <c r="C24" s="78"/>
      <c r="D24" s="79"/>
      <c r="E24" s="9">
        <v>0</v>
      </c>
      <c r="F24" s="14" t="s">
        <v>3</v>
      </c>
      <c r="G24" s="1"/>
    </row>
    <row r="25" spans="1:7" x14ac:dyDescent="0.25">
      <c r="A25" s="1"/>
      <c r="B25" s="81" t="s">
        <v>286</v>
      </c>
      <c r="C25" s="82"/>
      <c r="D25" s="83"/>
      <c r="E25" s="62">
        <f>E22-E23-E24</f>
        <v>-1614548</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6" t="s">
        <v>287</v>
      </c>
      <c r="C28" s="117"/>
      <c r="D28" s="117"/>
      <c r="E28" s="117"/>
      <c r="F28" s="118"/>
      <c r="G28" s="1"/>
    </row>
    <row r="29" spans="1:7" x14ac:dyDescent="0.25">
      <c r="A29" s="1"/>
      <c r="B29" s="131" t="s">
        <v>116</v>
      </c>
      <c r="C29" s="132"/>
      <c r="D29" s="133"/>
      <c r="E29" s="9">
        <f>IF(E18&lt;0,IF(E25&lt;0,SUM(E18,E25),IF(E10&gt;0,SUM(E10:E11),E18)),IF(AND(E25&lt;0,SUM(E25,E11)&lt;0),IF(E11&lt;0,E25,IF(SUM(E10:E11)&gt;0,SUM(E25,E11),IF(AND(E25&lt;0,E18=0,E11&gt;0),IF(SUM(E9:E11)&gt;0,E25+E11,E25)))),0))</f>
        <v>-2179072</v>
      </c>
      <c r="F29" s="14" t="s">
        <v>3</v>
      </c>
      <c r="G29" s="1"/>
    </row>
    <row r="30" spans="1:7" x14ac:dyDescent="0.25">
      <c r="A30" s="1"/>
      <c r="B30" s="131" t="s">
        <v>84</v>
      </c>
      <c r="C30" s="132"/>
      <c r="D30" s="133"/>
      <c r="E30" s="9">
        <v>2</v>
      </c>
      <c r="F30" s="14" t="s">
        <v>20</v>
      </c>
      <c r="G30" s="1"/>
    </row>
    <row r="31" spans="1:7" x14ac:dyDescent="0.25">
      <c r="A31" s="1"/>
      <c r="B31" s="134" t="s">
        <v>117</v>
      </c>
      <c r="C31" s="135"/>
      <c r="D31" s="136"/>
      <c r="E31" s="10">
        <f>E29/E30</f>
        <v>-1089536</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Bl8sQKw/NH/ERDuINiGliwdQkQQ0AMiNZamMUDlUrqp/MR9Ysd4ts6j2sJ/Nflyc2YbeVgZFtEq9DnLjJ4fzxA==" saltValue="RjaQcJOegg3X+H0V0WqtHQ=="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election activeCell="D29" sqref="D29"/>
    </sheetView>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170</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189</v>
      </c>
      <c r="C8" s="117"/>
      <c r="D8" s="117"/>
      <c r="E8" s="117"/>
      <c r="F8" s="117"/>
      <c r="G8" s="117"/>
      <c r="H8" s="118"/>
      <c r="I8" s="1"/>
    </row>
    <row r="9" spans="1:9" ht="15" customHeight="1" x14ac:dyDescent="0.25">
      <c r="A9" s="1"/>
      <c r="B9" s="143" t="s">
        <v>171</v>
      </c>
      <c r="C9" s="144"/>
      <c r="D9" s="144"/>
      <c r="E9" s="144"/>
      <c r="F9" s="144"/>
      <c r="G9" s="144"/>
      <c r="H9" s="145"/>
      <c r="I9" s="1"/>
    </row>
    <row r="10" spans="1:9" x14ac:dyDescent="0.25">
      <c r="A10" s="1"/>
      <c r="B10" s="140" t="s">
        <v>172</v>
      </c>
      <c r="C10" s="141"/>
      <c r="D10" s="141"/>
      <c r="E10" s="141"/>
      <c r="F10" s="142"/>
      <c r="G10" s="9">
        <v>-929485.66666666698</v>
      </c>
      <c r="H10" s="9" t="s">
        <v>3</v>
      </c>
      <c r="I10" s="1"/>
    </row>
    <row r="11" spans="1:9" x14ac:dyDescent="0.25">
      <c r="A11" s="1"/>
      <c r="B11" s="140" t="s">
        <v>173</v>
      </c>
      <c r="C11" s="141"/>
      <c r="D11" s="141"/>
      <c r="E11" s="141"/>
      <c r="F11" s="142"/>
      <c r="G11" s="9">
        <v>-929485.66666666698</v>
      </c>
      <c r="H11" s="9" t="s">
        <v>3</v>
      </c>
      <c r="I11" s="1"/>
    </row>
    <row r="12" spans="1:9" x14ac:dyDescent="0.25">
      <c r="A12" s="1"/>
      <c r="B12" s="140" t="s">
        <v>174</v>
      </c>
      <c r="C12" s="141"/>
      <c r="D12" s="141"/>
      <c r="E12" s="141"/>
      <c r="F12" s="142"/>
      <c r="G12" s="9">
        <v>-929485.66666666698</v>
      </c>
      <c r="H12" s="9" t="s">
        <v>3</v>
      </c>
      <c r="I12" s="1"/>
    </row>
    <row r="13" spans="1:9" x14ac:dyDescent="0.25">
      <c r="A13" s="1"/>
      <c r="B13" s="140" t="s">
        <v>175</v>
      </c>
      <c r="C13" s="141"/>
      <c r="D13" s="141"/>
      <c r="E13" s="141"/>
      <c r="F13" s="142"/>
      <c r="G13" s="9">
        <v>-929485.66666666698</v>
      </c>
      <c r="H13" s="9" t="s">
        <v>3</v>
      </c>
      <c r="I13" s="1"/>
    </row>
    <row r="14" spans="1:9" x14ac:dyDescent="0.25">
      <c r="A14" s="1"/>
      <c r="B14" s="140" t="s">
        <v>176</v>
      </c>
      <c r="C14" s="141"/>
      <c r="D14" s="141"/>
      <c r="E14" s="141"/>
      <c r="F14" s="142"/>
      <c r="G14" s="9">
        <v>-929485.66666666698</v>
      </c>
      <c r="H14" s="9" t="s">
        <v>3</v>
      </c>
      <c r="I14" s="1"/>
    </row>
    <row r="15" spans="1:9" x14ac:dyDescent="0.25">
      <c r="A15" s="1"/>
      <c r="B15" s="140" t="s">
        <v>177</v>
      </c>
      <c r="C15" s="141"/>
      <c r="D15" s="141"/>
      <c r="E15" s="141"/>
      <c r="F15" s="142"/>
      <c r="G15" s="9">
        <v>-929485.66666666698</v>
      </c>
      <c r="H15" s="9" t="s">
        <v>3</v>
      </c>
      <c r="I15" s="1"/>
    </row>
    <row r="16" spans="1:9" x14ac:dyDescent="0.25">
      <c r="A16" s="1"/>
      <c r="B16" s="140" t="s">
        <v>178</v>
      </c>
      <c r="C16" s="141"/>
      <c r="D16" s="141"/>
      <c r="E16" s="141"/>
      <c r="F16" s="142"/>
      <c r="G16" s="9">
        <v>0</v>
      </c>
      <c r="H16" s="9" t="s">
        <v>3</v>
      </c>
      <c r="I16" s="1"/>
    </row>
    <row r="17" spans="1:9" x14ac:dyDescent="0.25">
      <c r="A17" s="1"/>
      <c r="B17" s="140" t="s">
        <v>179</v>
      </c>
      <c r="C17" s="141"/>
      <c r="D17" s="141"/>
      <c r="E17" s="141"/>
      <c r="F17" s="142"/>
      <c r="G17" s="9">
        <v>0</v>
      </c>
      <c r="H17" s="9" t="s">
        <v>3</v>
      </c>
      <c r="I17" s="1"/>
    </row>
    <row r="18" spans="1:9" x14ac:dyDescent="0.25">
      <c r="A18" s="1"/>
      <c r="B18" s="116" t="s">
        <v>180</v>
      </c>
      <c r="C18" s="117"/>
      <c r="D18" s="117"/>
      <c r="E18" s="117"/>
      <c r="F18" s="118"/>
      <c r="G18" s="12">
        <f>SUM(G10:G17)</f>
        <v>-5576914.0000000019</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KGfsB+plyLYuEoEjYTXVDhT5O7hinp0rdbFW70ZT1GQ4rJV/66cwZkW7K+KNduDc0QbwPqO3c59zxEtQDakYow==" saltValue="EybP3X2WWPba+qxecCe1Zw=="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228</v>
      </c>
      <c r="C9" s="117"/>
      <c r="D9" s="117"/>
      <c r="E9" s="117"/>
      <c r="F9" s="118"/>
      <c r="G9" s="1"/>
    </row>
    <row r="10" spans="1:7" x14ac:dyDescent="0.25">
      <c r="A10" s="1"/>
      <c r="B10" s="113" t="s">
        <v>82</v>
      </c>
      <c r="C10" s="114"/>
      <c r="D10" s="115"/>
      <c r="E10" s="7">
        <v>0</v>
      </c>
      <c r="F10" s="8" t="s">
        <v>3</v>
      </c>
      <c r="G10" s="1"/>
    </row>
    <row r="11" spans="1:7" x14ac:dyDescent="0.25">
      <c r="A11" s="1"/>
      <c r="B11" s="119" t="s">
        <v>229</v>
      </c>
      <c r="C11" s="120"/>
      <c r="D11" s="121"/>
      <c r="E11" s="7">
        <v>0</v>
      </c>
      <c r="F11" s="8" t="s">
        <v>3</v>
      </c>
      <c r="G11" s="1"/>
    </row>
    <row r="12" spans="1:7" x14ac:dyDescent="0.25">
      <c r="A12" s="1"/>
      <c r="B12" s="134" t="s">
        <v>83</v>
      </c>
      <c r="C12" s="135"/>
      <c r="D12" s="136"/>
      <c r="E12" s="10">
        <f>E11-E10</f>
        <v>0</v>
      </c>
      <c r="F12" s="11" t="s">
        <v>3</v>
      </c>
      <c r="G12" s="1"/>
    </row>
    <row r="13" spans="1:7" x14ac:dyDescent="0.25">
      <c r="A13" s="1"/>
      <c r="B13" s="116" t="s">
        <v>78</v>
      </c>
      <c r="C13" s="117"/>
      <c r="D13" s="117"/>
      <c r="E13" s="117"/>
      <c r="F13" s="118"/>
      <c r="G13" s="1"/>
    </row>
    <row r="14" spans="1:7" x14ac:dyDescent="0.25">
      <c r="A14" s="1"/>
      <c r="B14" s="119" t="s">
        <v>230</v>
      </c>
      <c r="C14" s="120"/>
      <c r="D14" s="121"/>
      <c r="E14" s="7">
        <v>0</v>
      </c>
      <c r="F14" s="8" t="s">
        <v>3</v>
      </c>
      <c r="G14" s="1"/>
    </row>
    <row r="15" spans="1:7" x14ac:dyDescent="0.25">
      <c r="A15" s="1"/>
      <c r="B15" s="113" t="s">
        <v>231</v>
      </c>
      <c r="C15" s="114"/>
      <c r="D15" s="115"/>
      <c r="E15" s="7">
        <v>0</v>
      </c>
      <c r="F15" s="8" t="s">
        <v>3</v>
      </c>
      <c r="G15" s="1"/>
    </row>
    <row r="16" spans="1:7" x14ac:dyDescent="0.25">
      <c r="A16" s="1"/>
      <c r="B16" s="134" t="s">
        <v>83</v>
      </c>
      <c r="C16" s="135"/>
      <c r="D16" s="136"/>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Nkmg9UwW9S3JSjuj2ct4ga1vdoimj1o0RRAeJpiAv8ZV76XcRaFuofhkE0jLEZrw+0ZY/+e3HgkFkXkaS5PDw==" saltValue="O87xvl5TAAQvtDNqJL8+g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182</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149</v>
      </c>
      <c r="C8" s="117"/>
      <c r="D8" s="117"/>
      <c r="E8" s="117"/>
      <c r="F8" s="117"/>
      <c r="G8" s="117"/>
      <c r="H8" s="117"/>
      <c r="I8" s="117"/>
      <c r="J8" s="117"/>
      <c r="K8" s="118"/>
      <c r="L8" s="1"/>
    </row>
    <row r="9" spans="1:12" ht="39.75" customHeight="1" x14ac:dyDescent="0.25">
      <c r="A9" s="1"/>
      <c r="B9" s="18" t="s">
        <v>0</v>
      </c>
      <c r="C9" s="18" t="s">
        <v>1</v>
      </c>
      <c r="D9" s="146" t="s">
        <v>165</v>
      </c>
      <c r="E9" s="147"/>
      <c r="F9" s="146" t="s">
        <v>2</v>
      </c>
      <c r="G9" s="147"/>
      <c r="H9" s="146" t="s">
        <v>164</v>
      </c>
      <c r="I9" s="147"/>
      <c r="J9" s="146" t="s">
        <v>27</v>
      </c>
      <c r="K9" s="147"/>
      <c r="L9" s="1"/>
    </row>
    <row r="10" spans="1:12" x14ac:dyDescent="0.25">
      <c r="A10" s="1"/>
      <c r="B10" s="84" t="s">
        <v>265</v>
      </c>
      <c r="C10" s="45"/>
      <c r="D10" s="9">
        <v>0</v>
      </c>
      <c r="E10" s="14" t="s">
        <v>3</v>
      </c>
      <c r="F10" s="9">
        <f>IFERROR(D10/C10,0)</f>
        <v>0</v>
      </c>
      <c r="G10" s="14" t="s">
        <v>3</v>
      </c>
      <c r="H10" s="41">
        <v>0</v>
      </c>
      <c r="I10" s="14" t="s">
        <v>3</v>
      </c>
      <c r="J10" s="41">
        <v>0</v>
      </c>
      <c r="K10" s="14" t="s">
        <v>3</v>
      </c>
      <c r="L10" s="1"/>
    </row>
    <row r="11" spans="1:12" x14ac:dyDescent="0.25">
      <c r="A11" s="1"/>
      <c r="B11" s="74" t="s">
        <v>150</v>
      </c>
      <c r="C11" s="75"/>
      <c r="D11" s="76"/>
      <c r="E11" s="76"/>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S902alobWPZFmQ13DHLQ4FMrlvc/fFvn+1Ql4ZakcFfYXHQEIqC2XTgYbRJ1cqtxOz18Ks3DXbA4qU1OosHtWw==" saltValue="xWNUIQhgBnlvOk9kJMvPC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0</v>
      </c>
      <c r="D19" s="13" t="s">
        <v>3</v>
      </c>
      <c r="E19" s="12">
        <f>SUM(E10:E18)</f>
        <v>0</v>
      </c>
      <c r="F19" s="13" t="s">
        <v>3</v>
      </c>
      <c r="G19" s="1"/>
    </row>
    <row r="20" spans="1:7" x14ac:dyDescent="0.25">
      <c r="A20" s="1"/>
      <c r="B20" s="33" t="s">
        <v>233</v>
      </c>
      <c r="C20" s="12">
        <f>C19*(1+'Fane 15. Nøgletal'!C16)</f>
        <v>0</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kRoSlQ5GpRO40kSHfx3BRQ9zNhoaskc+VOyzdIYdNPUc77ZPg6ujWKS9M0VtMuHzPl8I9DYn+YirA3aHOh7PHw==" saltValue="/6NJ6kBlkjfG1sXt8sRLo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184</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260</v>
      </c>
      <c r="C8" s="117"/>
      <c r="D8" s="117"/>
      <c r="E8" s="117"/>
      <c r="F8" s="118"/>
      <c r="G8" s="1"/>
    </row>
    <row r="9" spans="1:7" x14ac:dyDescent="0.25">
      <c r="A9" s="1"/>
      <c r="B9" s="85" t="s">
        <v>17</v>
      </c>
      <c r="C9" s="85" t="s">
        <v>11</v>
      </c>
      <c r="D9" s="86"/>
      <c r="E9" s="85" t="s">
        <v>28</v>
      </c>
      <c r="F9" s="32"/>
      <c r="G9" s="1"/>
    </row>
    <row r="10" spans="1:7" x14ac:dyDescent="0.25">
      <c r="A10" s="1"/>
      <c r="B10" s="24" t="s">
        <v>275</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8"/>
      <c r="C16" s="148"/>
      <c r="D16" s="148"/>
      <c r="E16" s="148"/>
      <c r="F16" s="148"/>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8"/>
      <c r="C23" s="148"/>
      <c r="D23" s="148"/>
      <c r="E23" s="148"/>
      <c r="F23" s="148"/>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8"/>
      <c r="C30" s="148"/>
      <c r="D30" s="148"/>
      <c r="E30" s="148"/>
      <c r="F30" s="148"/>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6y5glP5mTvjBCdsQFBOF/s+DN7XPD8qmFOkHHYJUGG0LoGDL5jw/lYXK1Bb2lbIynK0PJXfnUyF8wVXbAbciDA==" saltValue="yhkkuAJ2wA88rAVA16EoT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110</v>
      </c>
      <c r="C9" s="117"/>
      <c r="D9" s="117"/>
      <c r="E9" s="117"/>
      <c r="F9" s="118"/>
      <c r="G9" s="1"/>
    </row>
    <row r="10" spans="1:7" x14ac:dyDescent="0.25">
      <c r="A10" s="1"/>
      <c r="B10" s="140" t="s">
        <v>236</v>
      </c>
      <c r="C10" s="141"/>
      <c r="D10" s="142"/>
      <c r="E10" s="9">
        <v>0</v>
      </c>
      <c r="F10" s="14" t="s">
        <v>3</v>
      </c>
      <c r="G10" s="1"/>
    </row>
    <row r="11" spans="1:7" x14ac:dyDescent="0.25">
      <c r="A11" s="1"/>
      <c r="B11" s="149" t="s">
        <v>10</v>
      </c>
      <c r="C11" s="150"/>
      <c r="D11" s="151"/>
      <c r="E11" s="9">
        <f>-E10*'Fane 5. Individuelt eff. krav'!G9</f>
        <v>0</v>
      </c>
      <c r="F11" s="14" t="s">
        <v>3</v>
      </c>
      <c r="G11" s="1"/>
    </row>
    <row r="12" spans="1:7" x14ac:dyDescent="0.25">
      <c r="A12" s="1"/>
      <c r="B12" s="149" t="s">
        <v>23</v>
      </c>
      <c r="C12" s="150"/>
      <c r="D12" s="151"/>
      <c r="E12" s="9">
        <f>-E10*'Fane 15. Nøgletal'!C33</f>
        <v>0</v>
      </c>
      <c r="F12" s="14" t="s">
        <v>3</v>
      </c>
      <c r="G12" s="1"/>
    </row>
    <row r="13" spans="1:7" x14ac:dyDescent="0.25">
      <c r="A13" s="1"/>
      <c r="B13" s="116" t="s">
        <v>111</v>
      </c>
      <c r="C13" s="117"/>
      <c r="D13" s="118"/>
      <c r="E13" s="12">
        <f>SUM(E10:E12)*(1+'Fane 15. Nøgletal'!C16)^2</f>
        <v>0</v>
      </c>
      <c r="F13" s="13" t="s">
        <v>3</v>
      </c>
      <c r="G13" s="1"/>
    </row>
    <row r="14" spans="1:7" x14ac:dyDescent="0.25">
      <c r="A14" s="1"/>
      <c r="B14" s="1"/>
      <c r="C14" s="1"/>
      <c r="D14" s="1"/>
      <c r="E14" s="1"/>
      <c r="F14" s="1"/>
      <c r="G14" s="1"/>
    </row>
    <row r="15" spans="1:7" ht="15" customHeight="1" x14ac:dyDescent="0.25">
      <c r="A15" s="1"/>
      <c r="B15" s="116" t="s">
        <v>124</v>
      </c>
      <c r="C15" s="117"/>
      <c r="D15" s="117"/>
      <c r="E15" s="117"/>
      <c r="F15" s="118"/>
      <c r="G15" s="1"/>
    </row>
    <row r="16" spans="1:7" x14ac:dyDescent="0.25">
      <c r="A16" s="1"/>
      <c r="B16" s="140" t="s">
        <v>236</v>
      </c>
      <c r="C16" s="141"/>
      <c r="D16" s="142"/>
      <c r="E16" s="9">
        <v>0</v>
      </c>
      <c r="F16" s="14" t="s">
        <v>3</v>
      </c>
      <c r="G16" s="1"/>
    </row>
    <row r="17" spans="1:7" x14ac:dyDescent="0.25">
      <c r="A17" s="1"/>
      <c r="B17" s="149" t="s">
        <v>10</v>
      </c>
      <c r="C17" s="150"/>
      <c r="D17" s="151"/>
      <c r="E17" s="9">
        <f>-E16*'Fane 5. Individuelt eff. krav'!G9</f>
        <v>0</v>
      </c>
      <c r="F17" s="14" t="s">
        <v>3</v>
      </c>
      <c r="G17" s="1"/>
    </row>
    <row r="18" spans="1:7" x14ac:dyDescent="0.25">
      <c r="A18" s="1"/>
      <c r="B18" s="149" t="s">
        <v>23</v>
      </c>
      <c r="C18" s="150"/>
      <c r="D18" s="151"/>
      <c r="E18" s="9">
        <f>-E16*'Fane 15. Nøgletal'!C33</f>
        <v>0</v>
      </c>
      <c r="F18" s="14" t="s">
        <v>3</v>
      </c>
      <c r="G18" s="1"/>
    </row>
    <row r="19" spans="1:7" x14ac:dyDescent="0.25">
      <c r="A19" s="1"/>
      <c r="B19" s="116" t="s">
        <v>125</v>
      </c>
      <c r="C19" s="117"/>
      <c r="D19" s="118"/>
      <c r="E19" s="12">
        <f>SUM(E16:E18)*(1+'Fane 15. Nøgletal'!C16)^3</f>
        <v>0</v>
      </c>
      <c r="F19" s="13" t="s">
        <v>3</v>
      </c>
      <c r="G19" s="1"/>
    </row>
    <row r="20" spans="1:7" x14ac:dyDescent="0.25">
      <c r="A20" s="1"/>
      <c r="B20" s="1"/>
      <c r="C20" s="1"/>
      <c r="D20" s="1"/>
      <c r="E20" s="1"/>
      <c r="F20" s="1"/>
      <c r="G20" s="1"/>
    </row>
    <row r="21" spans="1:7" ht="15" customHeight="1" x14ac:dyDescent="0.25">
      <c r="A21" s="1"/>
      <c r="B21" s="116" t="s">
        <v>145</v>
      </c>
      <c r="C21" s="117"/>
      <c r="D21" s="117"/>
      <c r="E21" s="117"/>
      <c r="F21" s="118"/>
      <c r="G21" s="1"/>
    </row>
    <row r="22" spans="1:7" x14ac:dyDescent="0.25">
      <c r="A22" s="1"/>
      <c r="B22" s="140" t="s">
        <v>236</v>
      </c>
      <c r="C22" s="141"/>
      <c r="D22" s="142"/>
      <c r="E22" s="9">
        <v>0</v>
      </c>
      <c r="F22" s="14" t="s">
        <v>3</v>
      </c>
      <c r="G22" s="1"/>
    </row>
    <row r="23" spans="1:7" x14ac:dyDescent="0.25">
      <c r="A23" s="1"/>
      <c r="B23" s="149" t="s">
        <v>10</v>
      </c>
      <c r="C23" s="150"/>
      <c r="D23" s="151"/>
      <c r="E23" s="9">
        <f>-E22*'Fane 5. Individuelt eff. krav'!G9</f>
        <v>0</v>
      </c>
      <c r="F23" s="14" t="s">
        <v>3</v>
      </c>
      <c r="G23" s="1"/>
    </row>
    <row r="24" spans="1:7" x14ac:dyDescent="0.25">
      <c r="A24" s="1"/>
      <c r="B24" s="149" t="s">
        <v>23</v>
      </c>
      <c r="C24" s="150"/>
      <c r="D24" s="151"/>
      <c r="E24" s="9">
        <f>-E22*'Fane 15. Nøgletal'!C33</f>
        <v>0</v>
      </c>
      <c r="F24" s="14" t="s">
        <v>3</v>
      </c>
      <c r="G24" s="1"/>
    </row>
    <row r="25" spans="1:7" x14ac:dyDescent="0.25">
      <c r="A25" s="1"/>
      <c r="B25" s="116" t="s">
        <v>146</v>
      </c>
      <c r="C25" s="117"/>
      <c r="D25" s="118"/>
      <c r="E25" s="12">
        <f>SUM(E22:E24)*(1+'Fane 15. Nøgletal'!C16)^4</f>
        <v>0</v>
      </c>
      <c r="F25" s="13" t="s">
        <v>3</v>
      </c>
      <c r="G25" s="1"/>
    </row>
    <row r="26" spans="1:7" x14ac:dyDescent="0.25">
      <c r="A26" s="1"/>
      <c r="B26" s="1"/>
      <c r="C26" s="1"/>
      <c r="D26" s="1"/>
      <c r="E26" s="1"/>
      <c r="F26" s="1"/>
      <c r="G26" s="1"/>
    </row>
    <row r="27" spans="1:7" ht="15" customHeight="1" x14ac:dyDescent="0.25">
      <c r="A27" s="1"/>
      <c r="B27" s="116" t="s">
        <v>237</v>
      </c>
      <c r="C27" s="117"/>
      <c r="D27" s="117"/>
      <c r="E27" s="117"/>
      <c r="F27" s="118"/>
      <c r="G27" s="1"/>
    </row>
    <row r="28" spans="1:7" ht="14.25" customHeight="1" x14ac:dyDescent="0.25">
      <c r="A28" s="1"/>
      <c r="B28" s="140" t="s">
        <v>236</v>
      </c>
      <c r="C28" s="141"/>
      <c r="D28" s="142"/>
      <c r="E28" s="9">
        <v>0</v>
      </c>
      <c r="F28" s="14" t="s">
        <v>3</v>
      </c>
      <c r="G28" s="1"/>
    </row>
    <row r="29" spans="1:7" x14ac:dyDescent="0.25">
      <c r="A29" s="1"/>
      <c r="B29" s="149" t="s">
        <v>10</v>
      </c>
      <c r="C29" s="150"/>
      <c r="D29" s="151"/>
      <c r="E29" s="9">
        <f>-E28*'Fane 5. Individuelt eff. krav'!G9</f>
        <v>0</v>
      </c>
      <c r="F29" s="14" t="s">
        <v>3</v>
      </c>
      <c r="G29" s="1"/>
    </row>
    <row r="30" spans="1:7" x14ac:dyDescent="0.25">
      <c r="A30" s="1"/>
      <c r="B30" s="149" t="s">
        <v>23</v>
      </c>
      <c r="C30" s="150"/>
      <c r="D30" s="151"/>
      <c r="E30" s="9">
        <f>-E28*'Fane 15. Nøgletal'!C33</f>
        <v>0</v>
      </c>
      <c r="F30" s="14" t="s">
        <v>3</v>
      </c>
      <c r="G30" s="1"/>
    </row>
    <row r="31" spans="1:7" x14ac:dyDescent="0.25">
      <c r="A31" s="1"/>
      <c r="B31" s="116" t="s">
        <v>238</v>
      </c>
      <c r="C31" s="117"/>
      <c r="D31" s="118"/>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NYP6E5yzqfljwu1VFDQwKO7heX4DhmEFTSvrQRFQemuyPiVyRM4PG5fnLrDHk7/+T4ztznmLZcAfO8hh6J4n7g==" saltValue="oKymQnTfblbcNocKksfAc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112</v>
      </c>
      <c r="C8" s="117"/>
      <c r="D8" s="117"/>
      <c r="E8" s="117"/>
      <c r="F8" s="118"/>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oVjtwP418KPgTftuVjpzwOS1l+jhArVXj/rqaJCdYZiKwFGLLgAoLwBF1QJu6EkiCI9w+/hwW9ScUzCAM1BFTw==" saltValue="b24WxWRbd5hwSwgfC5YVa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187</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240</v>
      </c>
      <c r="C9" s="117"/>
      <c r="D9" s="117"/>
      <c r="E9" s="117"/>
      <c r="F9" s="118"/>
      <c r="G9" s="1"/>
    </row>
    <row r="10" spans="1:7" ht="26.25" customHeight="1" x14ac:dyDescent="0.25">
      <c r="A10" s="1"/>
      <c r="B10" s="31" t="s">
        <v>18</v>
      </c>
      <c r="C10" s="143" t="s">
        <v>11</v>
      </c>
      <c r="D10" s="145"/>
      <c r="E10" s="143" t="s">
        <v>28</v>
      </c>
      <c r="F10" s="145"/>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pz/C/qQ+j2OUb9ajEX3Aie63kM2w79XQ6KCAgCvFqTYRC/Iz6OEO9wprUnF4pAGyQKDR9494YbdA+9r47IOGw==" saltValue="K9AsGab40S9yLnUup6Ehv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topLeftCell="A13" zoomScaleNormal="100" workbookViewId="0">
      <selection activeCell="E19" sqref="E19"/>
    </sheetView>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31736977.40425501</v>
      </c>
      <c r="D9" s="8" t="s">
        <v>3</v>
      </c>
      <c r="E9" s="1"/>
    </row>
    <row r="10" spans="1:5" ht="17.25" customHeight="1" x14ac:dyDescent="0.25">
      <c r="A10" s="1"/>
      <c r="B10" s="87" t="s">
        <v>36</v>
      </c>
      <c r="C10" s="7">
        <f>'Fane 11.1. Varige tillæg'!C20</f>
        <v>0</v>
      </c>
      <c r="D10" s="8" t="s">
        <v>3</v>
      </c>
      <c r="E10" s="1"/>
    </row>
    <row r="11" spans="1:5" ht="17.25" customHeight="1" x14ac:dyDescent="0.25">
      <c r="A11" s="1"/>
      <c r="B11" s="87" t="s">
        <v>37</v>
      </c>
      <c r="C11" s="9">
        <f>'Fane 11.1. Varige tillæg'!E20</f>
        <v>0</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2564347.7742638048</v>
      </c>
      <c r="D16" s="8" t="s">
        <v>3</v>
      </c>
      <c r="E16" s="1"/>
    </row>
    <row r="17" spans="1:5" ht="17.25" customHeight="1" x14ac:dyDescent="0.25">
      <c r="A17" s="1"/>
      <c r="B17" s="87" t="s">
        <v>10</v>
      </c>
      <c r="C17" s="41">
        <f>-SUM(C9,C10:C16)*'Fane 5. Individuelt eff. krav'!G9</f>
        <v>-53999.143819704579</v>
      </c>
      <c r="D17" s="8" t="s">
        <v>3</v>
      </c>
      <c r="E17" s="1"/>
    </row>
    <row r="18" spans="1:5" ht="17.25" customHeight="1" x14ac:dyDescent="0.25">
      <c r="A18" s="1"/>
      <c r="B18" s="87" t="s">
        <v>23</v>
      </c>
      <c r="C18" s="41">
        <f>-'Fane 4.1. Gen. krav - drift'!G54</f>
        <v>-412890.28915285546</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33834435.745546259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2280866.9561484801</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7" t="s">
        <v>158</v>
      </c>
      <c r="C26" s="41">
        <f>'Fane 11.2. Engangstillæg'!C14</f>
        <v>0</v>
      </c>
      <c r="D26" s="8" t="s">
        <v>3</v>
      </c>
      <c r="E26" s="1"/>
    </row>
    <row r="27" spans="1:5" ht="15" customHeight="1" x14ac:dyDescent="0.25">
      <c r="A27" s="1"/>
      <c r="B27" s="87" t="s">
        <v>70</v>
      </c>
      <c r="C27" s="41">
        <f>'Fane 11.2. Engangstillæg'!E14</f>
        <v>0</v>
      </c>
      <c r="D27" s="8" t="s">
        <v>3</v>
      </c>
      <c r="E27" s="1"/>
    </row>
    <row r="28" spans="1:5" ht="15" customHeight="1" x14ac:dyDescent="0.25">
      <c r="A28" s="1"/>
      <c r="B28" s="87" t="s">
        <v>161</v>
      </c>
      <c r="C28" s="41">
        <f>-C26*('Fane 15. Nøgletal'!C33+'Fane 5. Individuelt eff. krav'!G9)</f>
        <v>0</v>
      </c>
      <c r="D28" s="8" t="s">
        <v>3</v>
      </c>
      <c r="E28" s="1"/>
    </row>
    <row r="29" spans="1:5" ht="15" customHeight="1" x14ac:dyDescent="0.25">
      <c r="A29" s="1"/>
      <c r="B29" s="87" t="s">
        <v>162</v>
      </c>
      <c r="C29" s="41">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-1089536</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-929485.66666666698</v>
      </c>
      <c r="D36" s="11" t="s">
        <v>3</v>
      </c>
      <c r="E36" s="1"/>
    </row>
    <row r="37" spans="1:5" x14ac:dyDescent="0.25">
      <c r="A37" s="1"/>
      <c r="B37" s="30" t="s">
        <v>288</v>
      </c>
      <c r="C37" s="28"/>
      <c r="D37" s="19"/>
      <c r="E37" s="1"/>
    </row>
    <row r="38" spans="1:5" x14ac:dyDescent="0.25">
      <c r="A38" s="1"/>
      <c r="B38" s="70" t="s">
        <v>289</v>
      </c>
      <c r="C38" s="10">
        <v>231725.85763449274</v>
      </c>
      <c r="D38" s="11" t="s">
        <v>3</v>
      </c>
      <c r="E38" s="1"/>
    </row>
    <row r="39" spans="1:5" x14ac:dyDescent="0.25">
      <c r="A39" s="1"/>
      <c r="B39" s="33" t="s">
        <v>108</v>
      </c>
      <c r="C39" s="49">
        <f>SUM(C34,C32,C24,C30,C22,C20,C36,C38)</f>
        <v>34328006.89266257</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TBPiqg2ACd6moa1j1Ozqw0xDJqdRRbuzXvJSmDEY+3cdKr93wZkJ+5c5Ltxm3SVLkWcd5/dD57mBB0P/YRSvkA==" saltValue="Um7j43nfnFRrQTEwG4OVw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188</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0" t="s">
        <v>94</v>
      </c>
      <c r="C9" s="25">
        <v>1.2699999999999999E-2</v>
      </c>
      <c r="D9" s="1"/>
    </row>
    <row r="10" spans="1:4" x14ac:dyDescent="0.25">
      <c r="A10" s="1"/>
      <c r="B10" s="80" t="s">
        <v>95</v>
      </c>
      <c r="C10" s="25">
        <v>1.7500000000000002E-2</v>
      </c>
      <c r="D10" s="1"/>
    </row>
    <row r="11" spans="1:4" x14ac:dyDescent="0.25">
      <c r="A11" s="1"/>
      <c r="B11" s="80"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0"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0" t="s">
        <v>96</v>
      </c>
      <c r="C21" s="22">
        <v>9.1000000000000004E-3</v>
      </c>
      <c r="D21" s="1"/>
    </row>
    <row r="22" spans="1:4" x14ac:dyDescent="0.25">
      <c r="A22" s="1"/>
      <c r="B22" s="80" t="s">
        <v>118</v>
      </c>
      <c r="C22" s="22">
        <v>1.77E-2</v>
      </c>
      <c r="D22" s="1"/>
    </row>
    <row r="23" spans="1:4" x14ac:dyDescent="0.25">
      <c r="A23" s="1"/>
      <c r="B23" s="80" t="s">
        <v>119</v>
      </c>
      <c r="C23" s="22">
        <v>8.6999999999999994E-3</v>
      </c>
      <c r="D23" s="1"/>
    </row>
    <row r="24" spans="1:4" x14ac:dyDescent="0.25">
      <c r="A24" s="1"/>
      <c r="B24" s="80" t="s">
        <v>97</v>
      </c>
      <c r="C24" s="36">
        <v>2.8400000000000002E-2</v>
      </c>
      <c r="D24" s="1"/>
    </row>
    <row r="25" spans="1:4" x14ac:dyDescent="0.25">
      <c r="A25" s="1"/>
      <c r="B25" s="80" t="s">
        <v>120</v>
      </c>
      <c r="C25" s="36">
        <v>2.75E-2</v>
      </c>
      <c r="D25" s="1"/>
    </row>
    <row r="26" spans="1:4" x14ac:dyDescent="0.25">
      <c r="A26" s="1"/>
      <c r="B26" s="80"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0"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4+nyG9RRFPxy4TN8IzAvuqeBpxZLtsz4FZoCnTsEsEmUGpTE61w7nyUG7gHRtV7ffvignWyiXFyX2gfTgSh2MQ==" saltValue="lQq0oEUgPklGojLLWGTT6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topLeftCell="A10" zoomScaleNormal="100" workbookViewId="0">
      <selection activeCell="C23" sqref="C23"/>
    </sheetView>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33834435.745546259</v>
      </c>
      <c r="D9" s="8" t="s">
        <v>3</v>
      </c>
      <c r="E9" s="1"/>
    </row>
    <row r="10" spans="1:5" ht="15" customHeight="1" x14ac:dyDescent="0.25">
      <c r="A10" s="1"/>
      <c r="B10" s="26" t="s">
        <v>19</v>
      </c>
      <c r="C10" s="7">
        <f>SUM(C9:C9)*'Fane 15. Nøgletal'!C16</f>
        <v>2733822.4082401376</v>
      </c>
      <c r="D10" s="8" t="s">
        <v>3</v>
      </c>
      <c r="E10" s="1"/>
    </row>
    <row r="11" spans="1:5" ht="15" customHeight="1" x14ac:dyDescent="0.25">
      <c r="A11" s="1"/>
      <c r="B11" s="26" t="s">
        <v>10</v>
      </c>
      <c r="C11" s="9">
        <f>-SUM(C9:C10)*'Fane 5. Individuelt eff. krav'!G9</f>
        <v>-57567.881736505697</v>
      </c>
      <c r="D11" s="8" t="s">
        <v>3</v>
      </c>
      <c r="E11" s="1"/>
    </row>
    <row r="12" spans="1:5" ht="15" customHeight="1" x14ac:dyDescent="0.25">
      <c r="A12" s="1"/>
      <c r="B12" s="26" t="s">
        <v>23</v>
      </c>
      <c r="C12" s="9">
        <f>-'Fane 4.1. Gen. krav - drift'!G59</f>
        <v>-437326.78802607796</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36073363.484023817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2465161.0062052771</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-1089536</v>
      </c>
      <c r="D20" s="11" t="s">
        <v>3</v>
      </c>
      <c r="E20" s="1"/>
    </row>
    <row r="21" spans="1:5" x14ac:dyDescent="0.25">
      <c r="A21" s="1"/>
      <c r="B21" s="30" t="s">
        <v>135</v>
      </c>
      <c r="C21" s="28"/>
      <c r="D21" s="19"/>
      <c r="E21" s="1"/>
    </row>
    <row r="22" spans="1:5" x14ac:dyDescent="0.25">
      <c r="A22" s="1"/>
      <c r="B22" s="70" t="s">
        <v>136</v>
      </c>
      <c r="C22" s="10">
        <f>'Fane 8. Skattesagen'!G14</f>
        <v>-929485.66666666698</v>
      </c>
      <c r="D22" s="11" t="s">
        <v>3</v>
      </c>
      <c r="E22" s="1"/>
    </row>
    <row r="23" spans="1:5" x14ac:dyDescent="0.25">
      <c r="A23" s="1"/>
      <c r="B23" s="33" t="s">
        <v>122</v>
      </c>
      <c r="C23" s="12">
        <f>SUM(C14,C16,C18,C20,C22)</f>
        <v>36519502.823562428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q62XjbNP1N/CUeeRWlBi8/ZsiQHMk+J+vEV6LtB6P0F+0e+JsF362UNIi+kc+q+HKmrSPuB4aSQ/lQni6ROJw==" saltValue="acMfoua6qd7CFcSk54P46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203</v>
      </c>
      <c r="C3" s="109"/>
      <c r="D3" s="109"/>
      <c r="E3" s="1"/>
    </row>
    <row r="4" spans="1:5" ht="15" customHeight="1" x14ac:dyDescent="0.25">
      <c r="A4" s="1"/>
      <c r="B4" s="109"/>
      <c r="C4" s="109"/>
      <c r="D4" s="109"/>
      <c r="E4" s="1"/>
    </row>
    <row r="5" spans="1:5" x14ac:dyDescent="0.25">
      <c r="A5" s="1"/>
      <c r="B5" s="110" t="s">
        <v>253</v>
      </c>
      <c r="C5" s="110"/>
      <c r="D5" s="110"/>
      <c r="E5" s="1"/>
    </row>
    <row r="6" spans="1:5" x14ac:dyDescent="0.25">
      <c r="A6" s="1"/>
      <c r="B6" s="72"/>
      <c r="C6" s="72"/>
      <c r="D6" s="72"/>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36073363.484023817</v>
      </c>
      <c r="D9" s="8" t="s">
        <v>3</v>
      </c>
      <c r="E9" s="1"/>
    </row>
    <row r="10" spans="1:5" ht="15" customHeight="1" x14ac:dyDescent="0.25">
      <c r="A10" s="1"/>
      <c r="B10" s="26" t="s">
        <v>19</v>
      </c>
      <c r="C10" s="7">
        <f>SUM(C9:C9)*'Fane 15. Nøgletal'!C16</f>
        <v>2914727.7695091241</v>
      </c>
      <c r="D10" s="8" t="s">
        <v>3</v>
      </c>
      <c r="E10" s="1"/>
    </row>
    <row r="11" spans="1:5" ht="15" customHeight="1" x14ac:dyDescent="0.25">
      <c r="A11" s="1"/>
      <c r="B11" s="26" t="s">
        <v>10</v>
      </c>
      <c r="C11" s="9">
        <f>-SUM(C9:C10)*'Fane 5. Individuelt eff. krav'!G9</f>
        <v>-61377.323934229484</v>
      </c>
      <c r="D11" s="8" t="s">
        <v>3</v>
      </c>
      <c r="E11" s="1"/>
    </row>
    <row r="12" spans="1:5" ht="15" customHeight="1" x14ac:dyDescent="0.25">
      <c r="A12" s="1"/>
      <c r="B12" s="26" t="s">
        <v>23</v>
      </c>
      <c r="C12" s="9">
        <f>-'Fane 4.1. Gen. krav - drift'!G64</f>
        <v>-463209.5366486134</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38463504.392950095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2664346.0155066634</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-929485.66666666698</v>
      </c>
      <c r="D22" s="11" t="s">
        <v>3</v>
      </c>
      <c r="E22" s="1"/>
    </row>
    <row r="23" spans="1:5" x14ac:dyDescent="0.25">
      <c r="A23" s="1"/>
      <c r="B23" s="33" t="s">
        <v>140</v>
      </c>
      <c r="C23" s="12">
        <f>SUM(C14,C16,C18,C20,C22)</f>
        <v>40198364.741790093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1mphnvtcKkqt5MUjjcum6qUc05p0Pf7lCmbnTLSXJr35VZ314hjH8tm2uXKGkH8LGB1Ok1qM8EAYyFhq1ptrg==" saltValue="rvUOjlIXc4djSxMu57Mla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204</v>
      </c>
      <c r="C3" s="109"/>
      <c r="D3" s="109"/>
      <c r="E3" s="1"/>
      <c r="F3" s="1"/>
    </row>
    <row r="4" spans="1:6" ht="15" customHeight="1" x14ac:dyDescent="0.25">
      <c r="A4" s="1"/>
      <c r="B4" s="109"/>
      <c r="C4" s="109"/>
      <c r="D4" s="109"/>
      <c r="E4" s="1"/>
      <c r="F4" s="1"/>
    </row>
    <row r="5" spans="1:6" x14ac:dyDescent="0.25">
      <c r="A5" s="1"/>
      <c r="B5" s="110" t="s">
        <v>253</v>
      </c>
      <c r="C5" s="110"/>
      <c r="D5" s="110"/>
      <c r="E5" s="1"/>
      <c r="F5" s="1"/>
    </row>
    <row r="6" spans="1:6" x14ac:dyDescent="0.25">
      <c r="A6" s="1"/>
      <c r="B6" s="72"/>
      <c r="C6" s="72"/>
      <c r="D6" s="72"/>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38463504.392950095</v>
      </c>
      <c r="D9" s="8" t="s">
        <v>3</v>
      </c>
      <c r="E9" s="1"/>
      <c r="F9" s="1"/>
    </row>
    <row r="10" spans="1:6" ht="15" customHeight="1" x14ac:dyDescent="0.25">
      <c r="A10" s="1"/>
      <c r="B10" s="26" t="s">
        <v>19</v>
      </c>
      <c r="C10" s="7">
        <f>SUM(C9:C9)*'Fane 15. Nøgletal'!C16</f>
        <v>3107851.1549503678</v>
      </c>
      <c r="D10" s="8" t="s">
        <v>3</v>
      </c>
      <c r="E10" s="1"/>
      <c r="F10" s="1"/>
    </row>
    <row r="11" spans="1:6" ht="15" customHeight="1" x14ac:dyDescent="0.25">
      <c r="A11" s="1"/>
      <c r="B11" s="26" t="s">
        <v>10</v>
      </c>
      <c r="C11" s="9">
        <f>-SUM(C9:C10)*'Fane 5. Individuelt eff. krav'!G9</f>
        <v>-65444.049036827491</v>
      </c>
      <c r="D11" s="8" t="s">
        <v>3</v>
      </c>
      <c r="E11" s="1"/>
      <c r="F11" s="1"/>
    </row>
    <row r="12" spans="1:6" ht="15" customHeight="1" x14ac:dyDescent="0.25">
      <c r="A12" s="1"/>
      <c r="B12" s="26" t="s">
        <v>23</v>
      </c>
      <c r="C12" s="9">
        <f>-'Fane 4.1. Gen. krav - drift'!G69</f>
        <v>-490624.12986562494</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41015287.368998006</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2879625.1735596019</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43894912.542557605</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iZ+GmiljwSLkfUuAmPEvE8PITdU2uKZqRSPzF0FKw7pPkD+xKto1YBed+XA43yhyduzwIqT2J4mPCqlGie8LRQ==" saltValue="LehO6rkcI5VCoMO0fLRa6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topLeftCell="A7" zoomScale="99" zoomScaleNormal="100" zoomScalePageLayoutView="99" workbookViewId="0">
      <selection activeCell="C36" sqref="C36"/>
    </sheetView>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205</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32344816.095888436</v>
      </c>
      <c r="D9" s="8" t="s">
        <v>3</v>
      </c>
      <c r="E9" s="1"/>
    </row>
    <row r="10" spans="1:5" x14ac:dyDescent="0.25">
      <c r="A10" s="1"/>
      <c r="B10" s="87" t="s">
        <v>36</v>
      </c>
      <c r="C10" s="7">
        <v>0</v>
      </c>
      <c r="D10" s="8" t="s">
        <v>3</v>
      </c>
      <c r="E10" s="1"/>
    </row>
    <row r="11" spans="1:5" x14ac:dyDescent="0.25">
      <c r="A11" s="1"/>
      <c r="B11" s="87" t="s">
        <v>37</v>
      </c>
      <c r="C11" s="9">
        <v>0</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106737.89311643183</v>
      </c>
      <c r="D16" s="8" t="s">
        <v>3</v>
      </c>
      <c r="E16" s="1"/>
    </row>
    <row r="17" spans="1:5" x14ac:dyDescent="0.25">
      <c r="A17" s="1"/>
      <c r="B17" s="87" t="s">
        <v>10</v>
      </c>
      <c r="C17" s="41">
        <v>-126208.93257972485</v>
      </c>
      <c r="D17" s="8" t="s">
        <v>3</v>
      </c>
      <c r="E17" s="1"/>
    </row>
    <row r="18" spans="1:5" x14ac:dyDescent="0.25">
      <c r="A18" s="1"/>
      <c r="B18" s="87" t="s">
        <v>23</v>
      </c>
      <c r="C18" s="41">
        <v>-389819.22796497628</v>
      </c>
      <c r="D18" s="8" t="s">
        <v>3</v>
      </c>
      <c r="E18" s="1"/>
    </row>
    <row r="19" spans="1:5" x14ac:dyDescent="0.25">
      <c r="A19" s="1"/>
      <c r="B19" s="87" t="s">
        <v>24</v>
      </c>
      <c r="C19" s="41">
        <v>-198548.42420515759</v>
      </c>
      <c r="D19" s="8" t="s">
        <v>3</v>
      </c>
      <c r="E19" s="47"/>
    </row>
    <row r="20" spans="1:5" x14ac:dyDescent="0.25">
      <c r="A20" s="1"/>
      <c r="B20" s="81" t="s">
        <v>21</v>
      </c>
      <c r="C20" s="10">
        <v>31736977.40425501</v>
      </c>
      <c r="D20" s="11" t="s">
        <v>3</v>
      </c>
      <c r="E20" s="1"/>
    </row>
    <row r="21" spans="1:5" x14ac:dyDescent="0.25">
      <c r="A21" s="1"/>
      <c r="B21" s="33" t="s">
        <v>12</v>
      </c>
      <c r="C21" s="28"/>
      <c r="D21" s="19"/>
      <c r="E21" s="1"/>
    </row>
    <row r="22" spans="1:5" x14ac:dyDescent="0.25">
      <c r="A22" s="1"/>
      <c r="B22" s="31" t="s">
        <v>12</v>
      </c>
      <c r="C22" s="10">
        <v>2385316.4816030404</v>
      </c>
      <c r="D22" s="11" t="s">
        <v>3</v>
      </c>
      <c r="E22" s="1"/>
    </row>
    <row r="23" spans="1:5" x14ac:dyDescent="0.25">
      <c r="A23" s="1"/>
      <c r="B23" s="33" t="s">
        <v>74</v>
      </c>
      <c r="C23" s="28"/>
      <c r="D23" s="19"/>
      <c r="E23" s="1"/>
    </row>
    <row r="24" spans="1:5" x14ac:dyDescent="0.25">
      <c r="A24" s="1"/>
      <c r="B24" s="81" t="s">
        <v>74</v>
      </c>
      <c r="C24" s="10">
        <v>0</v>
      </c>
      <c r="D24" s="11" t="s">
        <v>3</v>
      </c>
      <c r="E24" s="1"/>
    </row>
    <row r="25" spans="1:5" x14ac:dyDescent="0.25">
      <c r="A25" s="1"/>
      <c r="B25" s="44" t="s">
        <v>73</v>
      </c>
      <c r="C25" s="42"/>
      <c r="D25" s="43"/>
      <c r="E25" s="1"/>
    </row>
    <row r="26" spans="1:5" x14ac:dyDescent="0.25">
      <c r="A26" s="1"/>
      <c r="B26" s="87" t="s">
        <v>158</v>
      </c>
      <c r="C26" s="69">
        <v>0</v>
      </c>
      <c r="D26" s="8" t="s">
        <v>3</v>
      </c>
      <c r="E26" s="1"/>
    </row>
    <row r="27" spans="1:5" x14ac:dyDescent="0.25">
      <c r="A27" s="1"/>
      <c r="B27" s="87" t="s">
        <v>70</v>
      </c>
      <c r="C27" s="69">
        <v>0</v>
      </c>
      <c r="D27" s="8" t="s">
        <v>3</v>
      </c>
      <c r="E27" s="1"/>
    </row>
    <row r="28" spans="1:5" x14ac:dyDescent="0.25">
      <c r="A28" s="1"/>
      <c r="B28" s="87" t="s">
        <v>161</v>
      </c>
      <c r="C28" s="69">
        <v>0</v>
      </c>
      <c r="D28" s="8" t="s">
        <v>3</v>
      </c>
      <c r="E28" s="1"/>
    </row>
    <row r="29" spans="1:5" x14ac:dyDescent="0.25">
      <c r="A29" s="1"/>
      <c r="B29" s="87"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-243060.38149528205</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-929485.66666666698</v>
      </c>
      <c r="D36" s="11" t="s">
        <v>3</v>
      </c>
      <c r="E36" s="1"/>
    </row>
    <row r="37" spans="1:5" x14ac:dyDescent="0.25">
      <c r="A37" s="1"/>
      <c r="B37" s="33" t="s">
        <v>267</v>
      </c>
      <c r="C37" s="49">
        <v>32949747.837696102</v>
      </c>
      <c r="D37" s="30" t="s">
        <v>3</v>
      </c>
      <c r="E37" s="1"/>
    </row>
    <row r="38" spans="1:5" ht="30" customHeight="1" x14ac:dyDescent="0.25">
      <c r="A38" s="1"/>
      <c r="B38" s="111" t="s">
        <v>268</v>
      </c>
      <c r="C38" s="111"/>
      <c r="D38" s="11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JxHiTeR2g156yd/6JcsYq4FSp1W4M1gG5olBhLIh0L+cIx7v71ey0f572IGj2xbxw8hZNRCTCvpVt99ujDWArw==" saltValue="1h/TDH/vLjXsyzOXGKJKkQ=="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6" t="s">
        <v>46</v>
      </c>
      <c r="C4" s="117"/>
      <c r="D4" s="117"/>
      <c r="E4" s="117"/>
      <c r="F4" s="117"/>
      <c r="G4" s="117"/>
      <c r="H4" s="118"/>
      <c r="I4" s="1"/>
    </row>
    <row r="5" spans="1:9" x14ac:dyDescent="0.25">
      <c r="A5" s="1"/>
      <c r="B5" s="119" t="s">
        <v>38</v>
      </c>
      <c r="C5" s="120"/>
      <c r="D5" s="120"/>
      <c r="E5" s="120"/>
      <c r="F5" s="121"/>
      <c r="G5" s="63">
        <v>19612649</v>
      </c>
      <c r="H5" s="14" t="s">
        <v>3</v>
      </c>
      <c r="I5" s="1"/>
    </row>
    <row r="6" spans="1:9" x14ac:dyDescent="0.25">
      <c r="A6" s="1"/>
      <c r="B6" s="113" t="s">
        <v>102</v>
      </c>
      <c r="C6" s="114"/>
      <c r="D6" s="114"/>
      <c r="E6" s="114"/>
      <c r="F6" s="115"/>
      <c r="G6" s="66">
        <v>0</v>
      </c>
      <c r="H6" s="14" t="s">
        <v>3</v>
      </c>
      <c r="I6" s="1"/>
    </row>
    <row r="7" spans="1:9" x14ac:dyDescent="0.25">
      <c r="A7" s="1"/>
      <c r="B7" s="119" t="s">
        <v>39</v>
      </c>
      <c r="C7" s="120"/>
      <c r="D7" s="120"/>
      <c r="E7" s="120"/>
      <c r="F7" s="121"/>
      <c r="G7" s="23">
        <f>SUM(G5:G6)*'Fane 15. Nøgletal'!C33</f>
        <v>392252.98</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6" t="s">
        <v>47</v>
      </c>
      <c r="C10" s="117"/>
      <c r="D10" s="117"/>
      <c r="E10" s="117"/>
      <c r="F10" s="117"/>
      <c r="G10" s="117"/>
      <c r="H10" s="118"/>
      <c r="I10" s="1"/>
    </row>
    <row r="11" spans="1:9" x14ac:dyDescent="0.25">
      <c r="A11" s="1"/>
      <c r="B11" s="119" t="s">
        <v>40</v>
      </c>
      <c r="C11" s="120"/>
      <c r="D11" s="120"/>
      <c r="E11" s="120"/>
      <c r="F11" s="121"/>
      <c r="G11" s="23">
        <f>(G5-G7)*(1+'Fane 15. Nøgletal'!C10)</f>
        <v>19556752.950350001</v>
      </c>
      <c r="H11" s="14" t="s">
        <v>3</v>
      </c>
      <c r="I11" s="1"/>
    </row>
    <row r="12" spans="1:9" ht="15" customHeight="1" x14ac:dyDescent="0.25">
      <c r="A12" s="1"/>
      <c r="B12" s="119" t="s">
        <v>103</v>
      </c>
      <c r="C12" s="120"/>
      <c r="D12" s="120"/>
      <c r="E12" s="120"/>
      <c r="F12" s="121"/>
      <c r="G12" s="66">
        <v>101622.42337068034</v>
      </c>
      <c r="H12" s="14" t="s">
        <v>3</v>
      </c>
      <c r="I12" s="1"/>
    </row>
    <row r="13" spans="1:9" x14ac:dyDescent="0.25">
      <c r="A13" s="1"/>
      <c r="B13" s="113" t="s">
        <v>100</v>
      </c>
      <c r="C13" s="114"/>
      <c r="D13" s="114"/>
      <c r="E13" s="114"/>
      <c r="F13" s="115"/>
      <c r="G13" s="66">
        <v>0</v>
      </c>
      <c r="H13" s="14" t="s">
        <v>3</v>
      </c>
      <c r="I13" s="1"/>
    </row>
    <row r="14" spans="1:9" x14ac:dyDescent="0.25">
      <c r="A14" s="1"/>
      <c r="B14" s="122" t="s">
        <v>244</v>
      </c>
      <c r="C14" s="123"/>
      <c r="D14" s="123"/>
      <c r="E14" s="123"/>
      <c r="F14" s="124"/>
      <c r="G14" s="66">
        <v>0</v>
      </c>
      <c r="H14" s="14" t="s">
        <v>3</v>
      </c>
      <c r="I14" s="1"/>
    </row>
    <row r="15" spans="1:9" x14ac:dyDescent="0.25">
      <c r="A15" s="1"/>
      <c r="B15" s="119" t="s">
        <v>41</v>
      </c>
      <c r="C15" s="120"/>
      <c r="D15" s="120"/>
      <c r="E15" s="120"/>
      <c r="F15" s="121"/>
      <c r="G15" s="23">
        <f>SUM(G11:G14)*'Fane 15. Nøgletal'!C33</f>
        <v>393167.50747441367</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6" t="s">
        <v>48</v>
      </c>
      <c r="C18" s="117"/>
      <c r="D18" s="117"/>
      <c r="E18" s="117"/>
      <c r="F18" s="117"/>
      <c r="G18" s="117"/>
      <c r="H18" s="118"/>
      <c r="I18" s="1"/>
    </row>
    <row r="19" spans="1:9" x14ac:dyDescent="0.25">
      <c r="A19" s="1"/>
      <c r="B19" s="119" t="s">
        <v>42</v>
      </c>
      <c r="C19" s="120"/>
      <c r="D19" s="120"/>
      <c r="E19" s="120"/>
      <c r="F19" s="121"/>
      <c r="G19" s="23">
        <f>(SUM(G11:G12,G14)-(G15))*(1+'Fane 15. Nøgletal'!C10)</f>
        <v>19602349.003905579</v>
      </c>
      <c r="H19" s="14" t="s">
        <v>3</v>
      </c>
      <c r="I19" s="1"/>
    </row>
    <row r="20" spans="1:9" x14ac:dyDescent="0.25">
      <c r="A20" s="1"/>
      <c r="B20" s="122" t="s">
        <v>245</v>
      </c>
      <c r="C20" s="123"/>
      <c r="D20" s="123"/>
      <c r="E20" s="123"/>
      <c r="F20" s="124"/>
      <c r="G20" s="66">
        <v>330206.28515641991</v>
      </c>
      <c r="H20" s="14" t="s">
        <v>3</v>
      </c>
      <c r="I20" s="1"/>
    </row>
    <row r="21" spans="1:9" x14ac:dyDescent="0.25">
      <c r="A21" s="1"/>
      <c r="B21" s="119" t="s">
        <v>43</v>
      </c>
      <c r="C21" s="120"/>
      <c r="D21" s="120"/>
      <c r="E21" s="120"/>
      <c r="F21" s="121"/>
      <c r="G21" s="23">
        <f>SUM(G19:G20)*'Fane 15. Nøgletal'!C33</f>
        <v>398651.10578124004</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6" t="s">
        <v>49</v>
      </c>
      <c r="C24" s="117"/>
      <c r="D24" s="117"/>
      <c r="E24" s="117"/>
      <c r="F24" s="117"/>
      <c r="G24" s="117"/>
      <c r="H24" s="118"/>
      <c r="I24" s="1"/>
    </row>
    <row r="25" spans="1:9" x14ac:dyDescent="0.25">
      <c r="A25" s="1"/>
      <c r="B25" s="119" t="s">
        <v>44</v>
      </c>
      <c r="C25" s="120"/>
      <c r="D25" s="120"/>
      <c r="E25" s="120"/>
      <c r="F25" s="121"/>
      <c r="G25" s="23">
        <f>(G19+G20-G21)*(1+'Fane 15. Nøgletal'!C12)</f>
        <v>19918722.095691394</v>
      </c>
      <c r="H25" s="14" t="s">
        <v>3</v>
      </c>
      <c r="I25" s="1"/>
    </row>
    <row r="26" spans="1:9" x14ac:dyDescent="0.25">
      <c r="A26" s="1"/>
      <c r="B26" s="122" t="s">
        <v>246</v>
      </c>
      <c r="C26" s="123"/>
      <c r="D26" s="123"/>
      <c r="E26" s="123"/>
      <c r="F26" s="124"/>
      <c r="G26" s="66">
        <v>256623.85976436001</v>
      </c>
      <c r="H26" s="14" t="s">
        <v>3</v>
      </c>
      <c r="I26" s="1"/>
    </row>
    <row r="27" spans="1:9" x14ac:dyDescent="0.25">
      <c r="A27" s="1"/>
      <c r="B27" s="119" t="s">
        <v>45</v>
      </c>
      <c r="C27" s="120"/>
      <c r="D27" s="120"/>
      <c r="E27" s="120"/>
      <c r="F27" s="121"/>
      <c r="G27" s="23">
        <f>(G25+G26)*'Fane 15. Nøgletal'!C33</f>
        <v>403506.91910911509</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6" t="s">
        <v>52</v>
      </c>
      <c r="C30" s="117"/>
      <c r="D30" s="117"/>
      <c r="E30" s="117"/>
      <c r="F30" s="117"/>
      <c r="G30" s="117"/>
      <c r="H30" s="118"/>
      <c r="I30" s="1"/>
    </row>
    <row r="31" spans="1:9" x14ac:dyDescent="0.25">
      <c r="A31" s="1"/>
      <c r="B31" s="119" t="s">
        <v>53</v>
      </c>
      <c r="C31" s="120"/>
      <c r="D31" s="120"/>
      <c r="E31" s="120"/>
      <c r="F31" s="121"/>
      <c r="G31" s="23">
        <f>(G25+G26-G27)*(1+'Fane 15. Nøgletal'!C12)</f>
        <v>20161344.265362669</v>
      </c>
      <c r="H31" s="14" t="s">
        <v>3</v>
      </c>
      <c r="I31" s="1"/>
    </row>
    <row r="32" spans="1:9" x14ac:dyDescent="0.25">
      <c r="A32" s="1"/>
      <c r="B32" s="119" t="s">
        <v>243</v>
      </c>
      <c r="C32" s="120"/>
      <c r="D32" s="120"/>
      <c r="E32" s="120"/>
      <c r="F32" s="121"/>
      <c r="G32" s="63">
        <v>0</v>
      </c>
      <c r="H32" s="14" t="s">
        <v>3</v>
      </c>
      <c r="I32" s="1"/>
    </row>
    <row r="33" spans="1:9" x14ac:dyDescent="0.25">
      <c r="A33" s="1"/>
      <c r="B33" s="119" t="s">
        <v>54</v>
      </c>
      <c r="C33" s="120"/>
      <c r="D33" s="120"/>
      <c r="E33" s="120"/>
      <c r="F33" s="121"/>
      <c r="G33" s="23">
        <f>(G31+G32)*'Fane 15. Nøgletal'!C33</f>
        <v>403226.8853072534</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6" t="s">
        <v>126</v>
      </c>
      <c r="C36" s="117"/>
      <c r="D36" s="117"/>
      <c r="E36" s="117"/>
      <c r="F36" s="117"/>
      <c r="G36" s="117"/>
      <c r="H36" s="118"/>
      <c r="I36" s="1"/>
    </row>
    <row r="37" spans="1:9" x14ac:dyDescent="0.25">
      <c r="A37" s="1"/>
      <c r="B37" s="119" t="s">
        <v>68</v>
      </c>
      <c r="C37" s="120"/>
      <c r="D37" s="120"/>
      <c r="E37" s="120"/>
      <c r="F37" s="121"/>
      <c r="G37" s="23">
        <f>(G31+G32-G33)*(1+'Fane 15. Nøgletal'!C14)</f>
        <v>19823319.167409603</v>
      </c>
      <c r="H37" s="14" t="s">
        <v>3</v>
      </c>
      <c r="I37" s="1"/>
    </row>
    <row r="38" spans="1:9" x14ac:dyDescent="0.25">
      <c r="A38" s="1"/>
      <c r="B38" s="119" t="s">
        <v>242</v>
      </c>
      <c r="C38" s="120"/>
      <c r="D38" s="120"/>
      <c r="E38" s="120"/>
      <c r="F38" s="121"/>
      <c r="G38" s="63">
        <v>0</v>
      </c>
      <c r="H38" s="14" t="s">
        <v>3</v>
      </c>
      <c r="I38" s="1"/>
    </row>
    <row r="39" spans="1:9" x14ac:dyDescent="0.25">
      <c r="A39" s="1"/>
      <c r="B39" s="119" t="s">
        <v>128</v>
      </c>
      <c r="C39" s="120"/>
      <c r="D39" s="120"/>
      <c r="E39" s="120"/>
      <c r="F39" s="121"/>
      <c r="G39" s="23">
        <f>(G37+G38)*'Fane 15. Nøgletal'!C33</f>
        <v>396466.38334819209</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6" t="s">
        <v>127</v>
      </c>
      <c r="C42" s="117"/>
      <c r="D42" s="117"/>
      <c r="E42" s="117"/>
      <c r="F42" s="117"/>
      <c r="G42" s="117"/>
      <c r="H42" s="118"/>
      <c r="I42" s="1"/>
    </row>
    <row r="43" spans="1:9" x14ac:dyDescent="0.25">
      <c r="A43" s="1"/>
      <c r="B43" s="119" t="s">
        <v>155</v>
      </c>
      <c r="C43" s="120"/>
      <c r="D43" s="120"/>
      <c r="E43" s="120"/>
      <c r="F43" s="121"/>
      <c r="G43" s="23">
        <f>(G37+G38-G39)*(1+'Fane 15. Nøgletal'!C14)</f>
        <v>19490961.398248814</v>
      </c>
      <c r="H43" s="14" t="s">
        <v>3</v>
      </c>
      <c r="I43" s="1"/>
    </row>
    <row r="44" spans="1:9" x14ac:dyDescent="0.25">
      <c r="A44" s="1"/>
      <c r="B44" s="125" t="s">
        <v>157</v>
      </c>
      <c r="C44" s="126"/>
      <c r="D44" s="126"/>
      <c r="E44" s="126"/>
      <c r="F44" s="127"/>
      <c r="G44" s="45">
        <v>0</v>
      </c>
      <c r="H44" s="14" t="s">
        <v>3</v>
      </c>
      <c r="I44" s="1"/>
    </row>
    <row r="45" spans="1:9" x14ac:dyDescent="0.25">
      <c r="A45" s="1"/>
      <c r="B45" s="119" t="s">
        <v>129</v>
      </c>
      <c r="C45" s="120"/>
      <c r="D45" s="120"/>
      <c r="E45" s="120"/>
      <c r="F45" s="121"/>
      <c r="G45" s="23">
        <f>SUM(G43:G44)*'Fane 15. Nøgletal'!C33</f>
        <v>389819.22796497628</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6" t="s">
        <v>192</v>
      </c>
      <c r="C51" s="117"/>
      <c r="D51" s="117"/>
      <c r="E51" s="117"/>
      <c r="F51" s="117"/>
      <c r="G51" s="117"/>
      <c r="H51" s="118"/>
      <c r="I51" s="1"/>
    </row>
    <row r="52" spans="1:9" x14ac:dyDescent="0.25">
      <c r="A52" s="1"/>
      <c r="B52" s="119" t="s">
        <v>154</v>
      </c>
      <c r="C52" s="120"/>
      <c r="D52" s="120"/>
      <c r="E52" s="120"/>
      <c r="F52" s="121"/>
      <c r="G52" s="23">
        <f>(G43+G44-G45)*(1+'Fane 15. Nøgletal'!C16)</f>
        <v>20644514.457642771</v>
      </c>
      <c r="H52" s="14" t="s">
        <v>3</v>
      </c>
      <c r="I52" s="1"/>
    </row>
    <row r="53" spans="1:9" x14ac:dyDescent="0.25">
      <c r="A53" s="1"/>
      <c r="B53" s="77" t="s">
        <v>194</v>
      </c>
      <c r="C53" s="78"/>
      <c r="D53" s="78"/>
      <c r="E53" s="78"/>
      <c r="F53" s="79"/>
      <c r="G53" s="23">
        <f>('Fane 2.1. Økonomisk ramme 2024'!C10+'Fane 2.1. Økonomisk ramme 2024'!C12+'Fane 2.1. Økonomisk ramme 2024'!C14)*(1+'Fane 15. Nøgletal'!C16)</f>
        <v>0</v>
      </c>
      <c r="H53" s="14" t="s">
        <v>3</v>
      </c>
      <c r="I53" s="1"/>
    </row>
    <row r="54" spans="1:9" x14ac:dyDescent="0.25">
      <c r="A54" s="1"/>
      <c r="B54" s="119" t="s">
        <v>210</v>
      </c>
      <c r="C54" s="120"/>
      <c r="D54" s="120"/>
      <c r="E54" s="120"/>
      <c r="F54" s="121"/>
      <c r="G54" s="23">
        <f>(G52)*'Fane 15. Nøgletal'!C33+(G53)*'Fane 15. Nøgletal'!C33</f>
        <v>412890.28915285546</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6" t="s">
        <v>193</v>
      </c>
      <c r="C57" s="117"/>
      <c r="D57" s="117"/>
      <c r="E57" s="117"/>
      <c r="F57" s="117"/>
      <c r="G57" s="117"/>
      <c r="H57" s="118"/>
      <c r="I57" s="1"/>
    </row>
    <row r="58" spans="1:9" x14ac:dyDescent="0.25">
      <c r="A58" s="1"/>
      <c r="B58" s="77" t="s">
        <v>212</v>
      </c>
      <c r="C58" s="78"/>
      <c r="D58" s="78"/>
      <c r="E58" s="78"/>
      <c r="F58" s="79"/>
      <c r="G58" s="23">
        <f>(G52+G53-G54)*(1+'Fane 15. Nøgletal'!C16)</f>
        <v>21866339.401303899</v>
      </c>
      <c r="H58" s="14" t="s">
        <v>3</v>
      </c>
      <c r="I58" s="1"/>
    </row>
    <row r="59" spans="1:9" x14ac:dyDescent="0.25">
      <c r="A59" s="1"/>
      <c r="B59" s="77" t="s">
        <v>211</v>
      </c>
      <c r="C59" s="78"/>
      <c r="D59" s="78"/>
      <c r="E59" s="78"/>
      <c r="F59" s="79"/>
      <c r="G59" s="23">
        <f>(G58)*'Fane 15. Nøgletal'!C33</f>
        <v>437326.78802607796</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6" t="s">
        <v>256</v>
      </c>
      <c r="C62" s="117"/>
      <c r="D62" s="117"/>
      <c r="E62" s="117"/>
      <c r="F62" s="117"/>
      <c r="G62" s="117"/>
      <c r="H62" s="118"/>
      <c r="I62" s="1"/>
    </row>
    <row r="63" spans="1:9" x14ac:dyDescent="0.25">
      <c r="A63" s="1"/>
      <c r="B63" s="77" t="s">
        <v>213</v>
      </c>
      <c r="C63" s="78"/>
      <c r="D63" s="78"/>
      <c r="E63" s="78"/>
      <c r="F63" s="79"/>
      <c r="G63" s="23">
        <f>(G58-G59)*(1+'Fane 15. Nøgletal'!C16)</f>
        <v>23160476.832430668</v>
      </c>
      <c r="H63" s="14" t="s">
        <v>3</v>
      </c>
      <c r="I63" s="1"/>
    </row>
    <row r="64" spans="1:9" x14ac:dyDescent="0.25">
      <c r="A64" s="1"/>
      <c r="B64" s="77" t="s">
        <v>214</v>
      </c>
      <c r="C64" s="78"/>
      <c r="D64" s="78"/>
      <c r="E64" s="78"/>
      <c r="F64" s="79"/>
      <c r="G64" s="23">
        <f>(G63)*'Fane 15. Nøgletal'!C33</f>
        <v>463209.5366486134</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6" t="s">
        <v>257</v>
      </c>
      <c r="C67" s="117"/>
      <c r="D67" s="117"/>
      <c r="E67" s="117"/>
      <c r="F67" s="117"/>
      <c r="G67" s="117"/>
      <c r="H67" s="118"/>
      <c r="I67" s="1"/>
    </row>
    <row r="68" spans="1:9" x14ac:dyDescent="0.25">
      <c r="A68" s="1"/>
      <c r="B68" s="77" t="s">
        <v>213</v>
      </c>
      <c r="C68" s="78"/>
      <c r="D68" s="78"/>
      <c r="E68" s="78"/>
      <c r="F68" s="79"/>
      <c r="G68" s="23">
        <f>(G63-G64)*(1+'Fane 15. Nøgletal'!C16)</f>
        <v>24531206.493281245</v>
      </c>
      <c r="H68" s="14" t="s">
        <v>3</v>
      </c>
      <c r="I68" s="1"/>
    </row>
    <row r="69" spans="1:9" x14ac:dyDescent="0.25">
      <c r="A69" s="1"/>
      <c r="B69" s="77" t="s">
        <v>214</v>
      </c>
      <c r="C69" s="78"/>
      <c r="D69" s="78"/>
      <c r="E69" s="78"/>
      <c r="F69" s="79"/>
      <c r="G69" s="23">
        <f>(G68)*'Fane 15. Nøgletal'!C33</f>
        <v>490624.12986562494</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wbyDxpi7eWJ9OoMumpIvFaq64L8UBopg740D1/NYKQjdaXkQMjbqLtQ3VHEuooM5rDIgHHdpCxJY+wnc2gGIWQ==" saltValue="BjysvcSt8FuJfbPA1zDZkg=="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topLeftCell="A7"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6" t="s">
        <v>50</v>
      </c>
      <c r="C4" s="117"/>
      <c r="D4" s="117"/>
      <c r="E4" s="117"/>
      <c r="F4" s="117"/>
      <c r="G4" s="117"/>
      <c r="H4" s="118"/>
      <c r="I4" s="1"/>
    </row>
    <row r="5" spans="1:9" x14ac:dyDescent="0.25">
      <c r="A5" s="1"/>
      <c r="B5" s="119" t="s">
        <v>55</v>
      </c>
      <c r="C5" s="120"/>
      <c r="D5" s="120"/>
      <c r="E5" s="120"/>
      <c r="F5" s="121"/>
      <c r="G5" s="63">
        <v>14061323</v>
      </c>
      <c r="H5" s="14" t="s">
        <v>3</v>
      </c>
      <c r="I5" s="1"/>
    </row>
    <row r="6" spans="1:9" x14ac:dyDescent="0.25">
      <c r="A6" s="1"/>
      <c r="B6" s="119" t="s">
        <v>51</v>
      </c>
      <c r="C6" s="120"/>
      <c r="D6" s="120"/>
      <c r="E6" s="120"/>
      <c r="F6" s="121"/>
      <c r="G6" s="23">
        <f>G5*'Fane 15. Nøgletal'!C21</f>
        <v>127958.0393</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6" t="s">
        <v>56</v>
      </c>
      <c r="C9" s="117"/>
      <c r="D9" s="117"/>
      <c r="E9" s="117"/>
      <c r="F9" s="117"/>
      <c r="G9" s="117"/>
      <c r="H9" s="118"/>
      <c r="I9" s="1"/>
    </row>
    <row r="10" spans="1:9" x14ac:dyDescent="0.25">
      <c r="A10" s="1"/>
      <c r="B10" s="119" t="s">
        <v>57</v>
      </c>
      <c r="C10" s="120"/>
      <c r="D10" s="120"/>
      <c r="E10" s="120"/>
      <c r="F10" s="121"/>
      <c r="G10" s="23">
        <f>(G5-G6)*(1+'Fane 15. Nøgletal'!C10)</f>
        <v>14177198.847512251</v>
      </c>
      <c r="H10" s="14" t="s">
        <v>3</v>
      </c>
      <c r="I10" s="1"/>
    </row>
    <row r="11" spans="1:9" x14ac:dyDescent="0.25">
      <c r="A11" s="1"/>
      <c r="B11" s="119" t="s">
        <v>104</v>
      </c>
      <c r="C11" s="120"/>
      <c r="D11" s="120"/>
      <c r="E11" s="120"/>
      <c r="F11" s="121"/>
      <c r="G11" s="63">
        <v>-735667.20966425072</v>
      </c>
      <c r="H11" s="14" t="s">
        <v>3</v>
      </c>
      <c r="I11" s="1"/>
    </row>
    <row r="12" spans="1:9" x14ac:dyDescent="0.25">
      <c r="A12" s="1"/>
      <c r="B12" s="122" t="s">
        <v>247</v>
      </c>
      <c r="C12" s="123"/>
      <c r="D12" s="123"/>
      <c r="E12" s="123"/>
      <c r="F12" s="124"/>
      <c r="G12" s="66">
        <v>0</v>
      </c>
      <c r="H12" s="14" t="s">
        <v>3</v>
      </c>
      <c r="I12" s="1"/>
    </row>
    <row r="13" spans="1:9" x14ac:dyDescent="0.25">
      <c r="A13" s="1"/>
      <c r="B13" s="119" t="s">
        <v>58</v>
      </c>
      <c r="C13" s="120"/>
      <c r="D13" s="120"/>
      <c r="E13" s="120"/>
      <c r="F13" s="121"/>
      <c r="G13" s="23">
        <f>SUM(G10:G12)*'Fane 15. Nøgletal'!C22</f>
        <v>237915.10998990963</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6" t="s">
        <v>59</v>
      </c>
      <c r="C16" s="117"/>
      <c r="D16" s="117"/>
      <c r="E16" s="117"/>
      <c r="F16" s="117"/>
      <c r="G16" s="117"/>
      <c r="H16" s="118"/>
      <c r="I16" s="1"/>
    </row>
    <row r="17" spans="1:9" x14ac:dyDescent="0.25">
      <c r="A17" s="1"/>
      <c r="B17" s="119" t="s">
        <v>60</v>
      </c>
      <c r="C17" s="120"/>
      <c r="D17" s="120"/>
      <c r="E17" s="120"/>
      <c r="F17" s="121"/>
      <c r="G17" s="23">
        <f>(SUM(G10:G12)-G13)*(1+'Fane 15. Nøgletal'!C10)</f>
        <v>13434679.817095609</v>
      </c>
      <c r="H17" s="14" t="s">
        <v>3</v>
      </c>
      <c r="I17" s="1"/>
    </row>
    <row r="18" spans="1:9" x14ac:dyDescent="0.25">
      <c r="A18" s="1"/>
      <c r="B18" s="122" t="s">
        <v>248</v>
      </c>
      <c r="C18" s="123"/>
      <c r="D18" s="123"/>
      <c r="E18" s="123"/>
      <c r="F18" s="124"/>
      <c r="G18" s="63">
        <v>344685.55186763994</v>
      </c>
      <c r="H18" s="14" t="s">
        <v>3</v>
      </c>
      <c r="I18" s="1"/>
    </row>
    <row r="19" spans="1:9" x14ac:dyDescent="0.25">
      <c r="A19" s="1"/>
      <c r="B19" s="119" t="s">
        <v>61</v>
      </c>
      <c r="C19" s="120"/>
      <c r="D19" s="120"/>
      <c r="E19" s="120"/>
      <c r="F19" s="121"/>
      <c r="G19" s="23">
        <f>G17*'Fane 15. Nøgletal'!C22+G18*'Fane 15. Nøgletal'!C23</f>
        <v>240792.59706384077</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6" t="s">
        <v>62</v>
      </c>
      <c r="C22" s="117"/>
      <c r="D22" s="117"/>
      <c r="E22" s="117"/>
      <c r="F22" s="117"/>
      <c r="G22" s="117"/>
      <c r="H22" s="118"/>
      <c r="I22" s="1"/>
    </row>
    <row r="23" spans="1:9" x14ac:dyDescent="0.25">
      <c r="A23" s="1"/>
      <c r="B23" s="119" t="s">
        <v>63</v>
      </c>
      <c r="C23" s="120"/>
      <c r="D23" s="120"/>
      <c r="E23" s="120"/>
      <c r="F23" s="121"/>
      <c r="G23" s="23">
        <f>(G17+G18-G19)*(1+'Fane 15. Nøgletal'!C12)</f>
        <v>13805282.655505827</v>
      </c>
      <c r="H23" s="14" t="s">
        <v>3</v>
      </c>
      <c r="I23" s="1"/>
    </row>
    <row r="24" spans="1:9" x14ac:dyDescent="0.25">
      <c r="A24" s="1"/>
      <c r="B24" s="122" t="s">
        <v>249</v>
      </c>
      <c r="C24" s="123"/>
      <c r="D24" s="123"/>
      <c r="E24" s="123"/>
      <c r="F24" s="124"/>
      <c r="G24" s="63">
        <v>247789.30025767503</v>
      </c>
      <c r="H24" s="14" t="s">
        <v>3</v>
      </c>
      <c r="I24" s="1"/>
    </row>
    <row r="25" spans="1:9" x14ac:dyDescent="0.25">
      <c r="A25" s="1"/>
      <c r="B25" s="119" t="s">
        <v>64</v>
      </c>
      <c r="C25" s="120"/>
      <c r="D25" s="120"/>
      <c r="E25" s="120"/>
      <c r="F25" s="121"/>
      <c r="G25" s="23">
        <f>(G23+G24)*'Fane 15. Nøgletal'!C24</f>
        <v>399107.24354368349</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6" t="s">
        <v>65</v>
      </c>
      <c r="C28" s="117"/>
      <c r="D28" s="117"/>
      <c r="E28" s="117"/>
      <c r="F28" s="117"/>
      <c r="G28" s="117"/>
      <c r="H28" s="118"/>
      <c r="I28" s="1"/>
    </row>
    <row r="29" spans="1:9" x14ac:dyDescent="0.25">
      <c r="A29" s="1"/>
      <c r="B29" s="119" t="s">
        <v>66</v>
      </c>
      <c r="C29" s="120"/>
      <c r="D29" s="120"/>
      <c r="E29" s="120"/>
      <c r="F29" s="121"/>
      <c r="G29" s="23">
        <f>(G23+G24-G25)*(1+'Fane 15. Nøgletal'!C12)</f>
        <v>13922947.81705055</v>
      </c>
      <c r="H29" s="14" t="s">
        <v>3</v>
      </c>
      <c r="I29" s="1"/>
    </row>
    <row r="30" spans="1:9" x14ac:dyDescent="0.25">
      <c r="A30" s="1"/>
      <c r="B30" s="119" t="s">
        <v>250</v>
      </c>
      <c r="C30" s="120"/>
      <c r="D30" s="120"/>
      <c r="E30" s="120"/>
      <c r="F30" s="121"/>
      <c r="G30" s="63">
        <v>0</v>
      </c>
      <c r="H30" s="14" t="s">
        <v>3</v>
      </c>
      <c r="I30" s="1"/>
    </row>
    <row r="31" spans="1:9" x14ac:dyDescent="0.25">
      <c r="A31" s="1"/>
      <c r="B31" s="119" t="s">
        <v>67</v>
      </c>
      <c r="C31" s="120"/>
      <c r="D31" s="120"/>
      <c r="E31" s="120"/>
      <c r="F31" s="121"/>
      <c r="G31" s="23">
        <f>G29*'Fane 15. Nøgletal'!C24+G30*'Fane 15. Nøgletal'!C25</f>
        <v>395411.71800423565</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6" t="s">
        <v>130</v>
      </c>
      <c r="C34" s="117"/>
      <c r="D34" s="117"/>
      <c r="E34" s="117"/>
      <c r="F34" s="117"/>
      <c r="G34" s="117"/>
      <c r="H34" s="118"/>
      <c r="I34" s="1"/>
    </row>
    <row r="35" spans="1:9" x14ac:dyDescent="0.25">
      <c r="A35" s="1"/>
      <c r="B35" s="119" t="s">
        <v>215</v>
      </c>
      <c r="C35" s="120"/>
      <c r="D35" s="120"/>
      <c r="E35" s="120"/>
      <c r="F35" s="121"/>
      <c r="G35" s="23">
        <f>(G29+G30-G31)*(1+'Fane 15. Nøgletal'!C14)</f>
        <v>13572176.968173169</v>
      </c>
      <c r="H35" s="14" t="s">
        <v>3</v>
      </c>
      <c r="I35" s="1"/>
    </row>
    <row r="36" spans="1:9" x14ac:dyDescent="0.25">
      <c r="A36" s="1"/>
      <c r="B36" s="119" t="s">
        <v>251</v>
      </c>
      <c r="C36" s="120"/>
      <c r="D36" s="120"/>
      <c r="E36" s="120"/>
      <c r="F36" s="121"/>
      <c r="G36" s="63">
        <v>0</v>
      </c>
      <c r="H36" s="14" t="s">
        <v>3</v>
      </c>
      <c r="I36" s="1"/>
    </row>
    <row r="37" spans="1:9" x14ac:dyDescent="0.25">
      <c r="A37" s="1"/>
      <c r="B37" s="119" t="s">
        <v>131</v>
      </c>
      <c r="C37" s="120"/>
      <c r="D37" s="120"/>
      <c r="E37" s="120"/>
      <c r="F37" s="121"/>
      <c r="G37" s="23">
        <f>(G35+G36)*'Fane 15. Nøgletal'!C26</f>
        <v>200868.2191289629</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6" t="s">
        <v>151</v>
      </c>
      <c r="C40" s="117"/>
      <c r="D40" s="117"/>
      <c r="E40" s="117"/>
      <c r="F40" s="117"/>
      <c r="G40" s="117"/>
      <c r="H40" s="118"/>
      <c r="I40" s="1"/>
    </row>
    <row r="41" spans="1:9" x14ac:dyDescent="0.25">
      <c r="A41" s="1"/>
      <c r="B41" s="119" t="s">
        <v>216</v>
      </c>
      <c r="C41" s="120"/>
      <c r="D41" s="120"/>
      <c r="E41" s="120"/>
      <c r="F41" s="121"/>
      <c r="G41" s="23">
        <f>(G35+G36-G37)*(1+'Fane 15. Nøgletal'!C14)</f>
        <v>13415434.067916052</v>
      </c>
      <c r="H41" s="14" t="s">
        <v>3</v>
      </c>
      <c r="I41" s="1"/>
    </row>
    <row r="42" spans="1:9" x14ac:dyDescent="0.25">
      <c r="A42" s="1"/>
      <c r="B42" s="40" t="s">
        <v>156</v>
      </c>
      <c r="C42" s="78"/>
      <c r="D42" s="78"/>
      <c r="E42" s="78"/>
      <c r="F42" s="79"/>
      <c r="G42" s="23">
        <v>0</v>
      </c>
      <c r="H42" s="14" t="s">
        <v>3</v>
      </c>
      <c r="I42" s="1"/>
    </row>
    <row r="43" spans="1:9" x14ac:dyDescent="0.25">
      <c r="A43" s="1"/>
      <c r="B43" s="119" t="s">
        <v>132</v>
      </c>
      <c r="C43" s="120"/>
      <c r="D43" s="120"/>
      <c r="E43" s="120"/>
      <c r="F43" s="121"/>
      <c r="G43" s="23">
        <f>(G41)*'Fane 15. Nøgletal'!C26+G42*'Fane 15. Nøgletal'!C27</f>
        <v>198548.42420515759</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6" t="s">
        <v>259</v>
      </c>
      <c r="C52" s="117"/>
      <c r="D52" s="117"/>
      <c r="E52" s="117"/>
      <c r="F52" s="117"/>
      <c r="G52" s="117"/>
      <c r="H52" s="118"/>
      <c r="I52" s="1"/>
    </row>
    <row r="53" spans="1:9" x14ac:dyDescent="0.25">
      <c r="A53" s="1"/>
      <c r="B53" s="119" t="s">
        <v>217</v>
      </c>
      <c r="C53" s="120"/>
      <c r="D53" s="120"/>
      <c r="E53" s="120"/>
      <c r="F53" s="121"/>
      <c r="G53" s="23">
        <f>(G41+G42-G43)*(1+'Fane 15. Nøgletal'!C16)</f>
        <v>14284810.003722735</v>
      </c>
      <c r="H53" s="14" t="s">
        <v>3</v>
      </c>
      <c r="I53" s="1"/>
    </row>
    <row r="54" spans="1:9" x14ac:dyDescent="0.25">
      <c r="A54" s="1"/>
      <c r="B54" s="77" t="s">
        <v>195</v>
      </c>
      <c r="C54" s="78"/>
      <c r="D54" s="78"/>
      <c r="E54" s="78"/>
      <c r="F54" s="79"/>
      <c r="G54" s="23">
        <f>('Fane 2.1. Økonomisk ramme 2024'!C11+'Fane 2.1. Økonomisk ramme 2024'!C13+'Fane 2.1. Økonomisk ramme 2024'!C15)*(1+'Fane 15. Nøgletal'!C16)</f>
        <v>0</v>
      </c>
      <c r="H54" s="14" t="s">
        <v>3</v>
      </c>
      <c r="I54" s="1"/>
    </row>
    <row r="55" spans="1:9" x14ac:dyDescent="0.25">
      <c r="A55" s="1"/>
      <c r="B55" s="119" t="s">
        <v>218</v>
      </c>
      <c r="C55" s="120"/>
      <c r="D55" s="120"/>
      <c r="E55" s="120"/>
      <c r="F55" s="121"/>
      <c r="G55" s="23">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6" t="s">
        <v>258</v>
      </c>
      <c r="C58" s="117"/>
      <c r="D58" s="117"/>
      <c r="E58" s="117"/>
      <c r="F58" s="117"/>
      <c r="G58" s="117"/>
      <c r="H58" s="118"/>
      <c r="I58" s="1"/>
    </row>
    <row r="59" spans="1:9" x14ac:dyDescent="0.25">
      <c r="A59" s="1"/>
      <c r="B59" s="119" t="s">
        <v>219</v>
      </c>
      <c r="C59" s="120"/>
      <c r="D59" s="120"/>
      <c r="E59" s="120"/>
      <c r="F59" s="121"/>
      <c r="G59" s="23">
        <f>(G53+G54-G55)*(1+'Fane 15. Nøgletal'!C16)</f>
        <v>15439022.652023531</v>
      </c>
      <c r="H59" s="14" t="s">
        <v>3</v>
      </c>
      <c r="I59" s="1"/>
    </row>
    <row r="60" spans="1:9" x14ac:dyDescent="0.25">
      <c r="A60" s="1"/>
      <c r="B60" s="119" t="s">
        <v>220</v>
      </c>
      <c r="C60" s="120"/>
      <c r="D60" s="120"/>
      <c r="E60" s="120"/>
      <c r="F60" s="121"/>
      <c r="G60" s="23">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6" t="s">
        <v>141</v>
      </c>
      <c r="C63" s="117"/>
      <c r="D63" s="117"/>
      <c r="E63" s="117"/>
      <c r="F63" s="117"/>
      <c r="G63" s="117"/>
      <c r="H63" s="118"/>
      <c r="I63" s="1"/>
    </row>
    <row r="64" spans="1:9" x14ac:dyDescent="0.25">
      <c r="A64" s="1"/>
      <c r="B64" s="119" t="s">
        <v>221</v>
      </c>
      <c r="C64" s="120"/>
      <c r="D64" s="120"/>
      <c r="E64" s="120"/>
      <c r="F64" s="121"/>
      <c r="G64" s="23">
        <f>(G59-G60)*(1+'Fane 15. Nøgletal'!C16)</f>
        <v>16686495.682307033</v>
      </c>
      <c r="H64" s="14" t="s">
        <v>3</v>
      </c>
      <c r="I64" s="1"/>
    </row>
    <row r="65" spans="1:9" x14ac:dyDescent="0.25">
      <c r="A65" s="1"/>
      <c r="B65" s="119" t="s">
        <v>222</v>
      </c>
      <c r="C65" s="120"/>
      <c r="D65" s="120"/>
      <c r="E65" s="120"/>
      <c r="F65" s="121"/>
      <c r="G65" s="23">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6" t="s">
        <v>223</v>
      </c>
      <c r="C68" s="117"/>
      <c r="D68" s="117"/>
      <c r="E68" s="117"/>
      <c r="F68" s="117"/>
      <c r="G68" s="117"/>
      <c r="H68" s="118"/>
      <c r="I68" s="1"/>
    </row>
    <row r="69" spans="1:9" x14ac:dyDescent="0.25">
      <c r="A69" s="1"/>
      <c r="B69" s="119" t="s">
        <v>221</v>
      </c>
      <c r="C69" s="120"/>
      <c r="D69" s="120"/>
      <c r="E69" s="120"/>
      <c r="F69" s="121"/>
      <c r="G69" s="23">
        <f>(G64-G65)*(1+'Fane 15. Nøgletal'!C16)</f>
        <v>18034764.533437442</v>
      </c>
      <c r="H69" s="14" t="s">
        <v>3</v>
      </c>
      <c r="I69" s="1"/>
    </row>
    <row r="70" spans="1:9" x14ac:dyDescent="0.25">
      <c r="A70" s="1"/>
      <c r="B70" s="119" t="s">
        <v>222</v>
      </c>
      <c r="C70" s="120"/>
      <c r="D70" s="120"/>
      <c r="E70" s="120"/>
      <c r="F70" s="121"/>
      <c r="G70" s="23">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LuAyV7KnjCCGbSqz+HcXorE93TFdD7jbdSVge8WspBs+m2vLe3/PnXX+OaP/UtfgMeg8ppYt00A8ASrmVv67OA==" saltValue="6WX2ytKcNg23xhZT4ap1uQ=="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6" t="s">
        <v>10</v>
      </c>
      <c r="C8" s="117"/>
      <c r="D8" s="117"/>
      <c r="E8" s="117"/>
      <c r="F8" s="117"/>
      <c r="G8" s="118"/>
      <c r="H8" s="1"/>
    </row>
    <row r="9" spans="1:8" x14ac:dyDescent="0.25">
      <c r="A9" s="1"/>
      <c r="B9" s="119" t="s">
        <v>271</v>
      </c>
      <c r="C9" s="120"/>
      <c r="D9" s="120"/>
      <c r="E9" s="120"/>
      <c r="F9" s="121"/>
      <c r="G9" s="22">
        <v>1.5742582404227785E-3</v>
      </c>
      <c r="H9" s="1"/>
    </row>
    <row r="10" spans="1:8" x14ac:dyDescent="0.25">
      <c r="A10" s="1"/>
      <c r="B10" s="33"/>
      <c r="C10" s="28"/>
      <c r="D10" s="28"/>
      <c r="E10" s="28"/>
      <c r="F10" s="28"/>
      <c r="G10" s="19"/>
      <c r="H10" s="1"/>
    </row>
    <row r="11" spans="1:8" ht="33" customHeight="1" x14ac:dyDescent="0.25">
      <c r="A11" s="1"/>
      <c r="B11" s="130" t="s">
        <v>264</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mja+FmBVUztkD7yuDFVrJ40CmyGNrUt9PAb8WpRnNqGKghP8HpsTdzRg3EQiZFL0i1EsKj2oGnZLR44QKvp2qA==" saltValue="Zk64tjL7GjV4U4F0LF/Eb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7</vt:i4>
      </vt:variant>
    </vt:vector>
  </HeadingPairs>
  <TitlesOfParts>
    <vt:vector size="27"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2025-12-03T15:25:49Z</dcterms:modified>
</cp:coreProperties>
</file>