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Kalundborg Overfladevand AS (V111)\ØR2025\"/>
    </mc:Choice>
  </mc:AlternateContent>
  <xr:revisionPtr revIDLastSave="0" documentId="13_ncr:1_{FB1A9913-71E1-46C5-B3BE-B7DE0498A809}"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<sst xmlns="http://schemas.openxmlformats.org/spreadsheetml/2006/main" count="448" uniqueCount="204">
  <si>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</si>
  <si>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</si>
  <si>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</si>
  <si>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</si>
  <si>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</si>
  <si>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</si>
  <si>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</si>
  <si>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</si>
  <si>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</si>
  <si>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</si>
  <si>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</si>
  <si>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</si>
  <si>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</si>
  <si>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</si>
  <si>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</si>
  <si>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</si>
  <si>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</si>
  <si>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</si>
  <si>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</si>
  <si>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</si>
  <si>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</si>
  <si>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</si>
  <si>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</si>
  <si>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</si>
  <si>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</si>
  <si>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</si>
  <si>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</si>
  <si>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</si>
  <si>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</si>
  <si>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</si>
  <si>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</si>
  <si>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</si>
  <si>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</si>
  <si>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</si>
  <si>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</si>
  <si>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</si>
  <si>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</si>
  <si>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</si>
  <si>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</si>
  <si>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</si>
  <si>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</si>
  <si>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</si>
  <si>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</si>
  <si>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</si>
  <si>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</si>
  <si>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</si>
  <si>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</si>
  <si>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</si>
  <si>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</si>
  <si>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</si>
  <si>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</si>
  <si>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</si>
  <si>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</si>
  <si>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</si>
  <si>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</si>
  <si>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</si>
  <si>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</si>
  <si>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</si>
  <si>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</si>
  <si>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</si>
  <si>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</si>
  <si>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</si>
  <si>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</si>
  <si>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</si>
  <si>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</si>
  <si>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</si>
  <si>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</si>
  <si>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</si>
  <si>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</si>
  <si>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</si>
  <si>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</si>
  <si>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</si>
  <si>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</si>
  <si>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</si>
  <si>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</si>
  <si>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</si>
  <si>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</si>
  <si>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</si>
  <si>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</si>
  <si>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</si>
  <si>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</si>
  <si>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</si>
  <si>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</si>
  <si>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</si>
  <si>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</si>
  <si>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</si>
  <si>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</si>
  <si>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</si>
  <si>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</si>
  <si>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</si>
  <si>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</si>
  <si>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</si>
  <si>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</si>
  <si>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</si>
  <si>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</si>
  <si>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</si>
  <si>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</si>
  <si>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</si>
  <si>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</si>
  <si>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</si>
  <si>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</si>
  <si>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</si>
  <si>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</si>
  <si>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</si>
  <si>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</si>
  <si>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</si>
  <si>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</si>
  <si>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</si>
  <si>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</si>
  <si>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</si>
  <si>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</si>
  <si>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</si>
  <si>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</si>
  <si>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</si>
  <si>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</si>
  <si>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</si>
  <si>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</si>
  <si>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</si>
  <si>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</si>
  <si>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</si>
  <si>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</si>
  <si>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</si>
  <si>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</si>
  <si>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</si>
  <si>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</si>
  <si>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</si>
  <si>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</si>
  <si>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</si>
  <si>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</si>
  <si>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</si>
  <si>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</si>
  <si>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</si>
  <si>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</si>
  <si>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</si>
  <si>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</si>
  <si>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</si>
  <si>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</si>
  <si>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</si>
  <si>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</si>
  <si>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</si>
  <si>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</si>
  <si>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</si>
  <si>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</si>
  <si>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</si>
  <si>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</si>
  <si>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</si>
  <si>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</si>
  <si>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</si>
  <si>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</si>
  <si>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</si>
  <si>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</si>
  <si>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</si>
  <si>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</si>
  <si>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</si>
  <si>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</si>
  <si>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</si>
  <si>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</si>
  <si>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</si>
  <si>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</si>
  <si>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</si>
  <si>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</si>
  <si>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</si>
  <si>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</si>
  <si>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</si>
  <si>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</si>
  <si>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</si>
  <si>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</si>
  <si>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</si>
  <si>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</si>
  <si>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</si>
  <si>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</si>
  <si>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</si>
  <si>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</si>
  <si>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</si>
  <si>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</si>
  <si>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</si>
  <si>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</si>
  <si>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</si>
  <si>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</si>
  <si>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</si>
  <si>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</si>
  <si>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</si>
  <si>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</si>
  <si>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</si>
  <si>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</si>
  <si>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</si>
  <si>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</si>
  <si>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</si>
  <si>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</si>
  <si>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</si>
  <si>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</si>
  <si>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</si>
  <si>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</si>
  <si>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</si>
  <si>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</si>
  <si>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</si>
  <si>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</si>
  <si>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</si>
  <si>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</si>
  <si>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</si>
  <si>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</si>
  <si>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 xml:space="preserve">Projekt Tissø </t>
  </si>
  <si>
    <t>Undersøgelse af vand af andre kvaliteter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</si>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</sst>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1"/>
    </row>
    <row r="7" spans="1:7" ht="15" customHeight="1" x14ac:dyDescent="0.25">
      <c r="A7" s="1"/>
      <c r="B7" s="3"/>
      <c r="C7" s="87"/>
      <c r="D7" s="87"/>
      <c r="E7" s="87"/>
      <c r="F7" s="87"/>
      <c r="G7" s="1"/>
    </row>
    <row r="8" spans="1:7" ht="15.75" x14ac:dyDescent="0.25">
      <c r="A8" s="1"/>
      <c r="B8" s="4"/>
      <c r="C8" s="89" t="s">
        <v>196</v>
      </c>
      <c r="D8" s="89"/>
      <c r="E8" s="89"/>
      <c r="F8" s="89"/>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8" t="s">
        <v>5</v>
      </c>
      <c r="D11" s="88"/>
      <c r="E11" s="88"/>
      <c r="F11" s="88"/>
      <c r="G11" s="1"/>
    </row>
    <row r="12" spans="1:7" x14ac:dyDescent="0.25">
      <c r="A12" s="1"/>
      <c r="B12" s="1"/>
      <c r="C12" s="1"/>
      <c r="D12" s="1"/>
      <c r="E12" s="1"/>
      <c r="F12" s="1"/>
      <c r="G12" s="1"/>
    </row>
    <row r="13" spans="1:7" x14ac:dyDescent="0.25">
      <c r="A13" s="1"/>
      <c r="B13" s="6" t="s">
        <v>6</v>
      </c>
      <c r="C13" s="84" t="s">
        <v>124</v>
      </c>
      <c r="D13" s="85"/>
      <c r="E13" s="85"/>
      <c r="F13" s="86"/>
      <c r="G13" s="1"/>
    </row>
    <row r="14" spans="1:7" x14ac:dyDescent="0.25">
      <c r="A14" s="1"/>
      <c r="B14" s="6" t="s">
        <v>14</v>
      </c>
      <c r="C14" s="84" t="s">
        <v>159</v>
      </c>
      <c r="D14" s="85"/>
      <c r="E14" s="85"/>
      <c r="F14" s="86"/>
      <c r="G14" s="1"/>
    </row>
    <row r="15" spans="1:7" x14ac:dyDescent="0.25">
      <c r="A15" s="1"/>
      <c r="B15" s="6" t="s">
        <v>29</v>
      </c>
      <c r="C15" s="84" t="s">
        <v>107</v>
      </c>
      <c r="D15" s="85"/>
      <c r="E15" s="85"/>
      <c r="F15" s="86"/>
      <c r="G15" s="1"/>
    </row>
    <row r="16" spans="1:7" x14ac:dyDescent="0.25">
      <c r="A16" s="1"/>
      <c r="B16" s="6" t="s">
        <v>30</v>
      </c>
      <c r="C16" s="84" t="s">
        <v>125</v>
      </c>
      <c r="D16" s="85"/>
      <c r="E16" s="85"/>
      <c r="F16" s="86"/>
      <c r="G16" s="1"/>
    </row>
    <row r="17" spans="1:7" x14ac:dyDescent="0.25">
      <c r="A17" s="1"/>
      <c r="B17" s="6" t="s">
        <v>57</v>
      </c>
      <c r="C17" s="84" t="s">
        <v>126</v>
      </c>
      <c r="D17" s="85"/>
      <c r="E17" s="85"/>
      <c r="F17" s="86"/>
      <c r="G17" s="1"/>
    </row>
    <row r="18" spans="1:7" x14ac:dyDescent="0.25">
      <c r="A18" s="1"/>
      <c r="B18" s="6" t="s">
        <v>49</v>
      </c>
      <c r="C18" s="90" t="s">
        <v>42</v>
      </c>
      <c r="D18" s="91"/>
      <c r="E18" s="91"/>
      <c r="F18" s="92"/>
      <c r="G18" s="1"/>
    </row>
    <row r="19" spans="1:7" x14ac:dyDescent="0.25">
      <c r="A19" s="1"/>
      <c r="B19" s="6" t="s">
        <v>50</v>
      </c>
      <c r="C19" s="90" t="s">
        <v>43</v>
      </c>
      <c r="D19" s="91"/>
      <c r="E19" s="91"/>
      <c r="F19" s="92"/>
      <c r="G19" s="1"/>
    </row>
    <row r="20" spans="1:7" x14ac:dyDescent="0.25">
      <c r="A20" s="1"/>
      <c r="B20" s="6" t="s">
        <v>7</v>
      </c>
      <c r="C20" s="90" t="s">
        <v>9</v>
      </c>
      <c r="D20" s="91"/>
      <c r="E20" s="91"/>
      <c r="F20" s="92"/>
      <c r="G20" s="1"/>
    </row>
    <row r="21" spans="1:7" x14ac:dyDescent="0.25">
      <c r="A21" s="1"/>
      <c r="B21" s="6" t="s">
        <v>51</v>
      </c>
      <c r="C21" s="81" t="s">
        <v>11</v>
      </c>
      <c r="D21" s="82"/>
      <c r="E21" s="82"/>
      <c r="F21" s="83"/>
      <c r="G21" s="1"/>
    </row>
    <row r="22" spans="1:7" x14ac:dyDescent="0.25">
      <c r="A22" s="1"/>
      <c r="B22" s="6" t="s">
        <v>37</v>
      </c>
      <c r="C22" s="75" t="s">
        <v>127</v>
      </c>
      <c r="D22" s="76"/>
      <c r="E22" s="76"/>
      <c r="F22" s="77"/>
      <c r="G22" s="1"/>
    </row>
    <row r="23" spans="1:7" x14ac:dyDescent="0.25">
      <c r="A23" s="1"/>
      <c r="B23" s="6" t="s">
        <v>8</v>
      </c>
      <c r="C23" s="75" t="s">
        <v>89</v>
      </c>
      <c r="D23" s="76"/>
      <c r="E23" s="76"/>
      <c r="F23" s="77"/>
      <c r="G23" s="1"/>
    </row>
    <row r="24" spans="1:7" x14ac:dyDescent="0.25">
      <c r="A24" s="1"/>
      <c r="B24" s="6" t="s">
        <v>85</v>
      </c>
      <c r="C24" s="75" t="s">
        <v>78</v>
      </c>
      <c r="D24" s="76"/>
      <c r="E24" s="76"/>
      <c r="F24" s="77"/>
      <c r="G24" s="1"/>
    </row>
    <row r="25" spans="1:7" x14ac:dyDescent="0.25">
      <c r="A25" s="1"/>
      <c r="B25" s="6" t="s">
        <v>86</v>
      </c>
      <c r="C25" s="75" t="s">
        <v>38</v>
      </c>
      <c r="D25" s="76"/>
      <c r="E25" s="76"/>
      <c r="F25" s="77"/>
      <c r="G25" s="1"/>
    </row>
    <row r="26" spans="1:7" x14ac:dyDescent="0.25">
      <c r="A26" s="1"/>
      <c r="B26" s="6" t="s">
        <v>87</v>
      </c>
      <c r="C26" s="75" t="s">
        <v>39</v>
      </c>
      <c r="D26" s="76"/>
      <c r="E26" s="76"/>
      <c r="F26" s="77"/>
      <c r="G26" s="1"/>
    </row>
    <row r="27" spans="1:7" x14ac:dyDescent="0.25">
      <c r="A27" s="1"/>
      <c r="B27" s="6" t="s">
        <v>52</v>
      </c>
      <c r="C27" s="75" t="s">
        <v>58</v>
      </c>
      <c r="D27" s="76"/>
      <c r="E27" s="76"/>
      <c r="F27" s="77"/>
      <c r="G27" s="1"/>
    </row>
    <row r="28" spans="1:7" x14ac:dyDescent="0.25">
      <c r="A28" s="1"/>
      <c r="B28" s="6" t="s">
        <v>46</v>
      </c>
      <c r="C28" s="75" t="s">
        <v>31</v>
      </c>
      <c r="D28" s="76"/>
      <c r="E28" s="76"/>
      <c r="F28" s="77"/>
      <c r="G28" s="1"/>
    </row>
    <row r="29" spans="1:7" x14ac:dyDescent="0.25">
      <c r="A29" s="1"/>
      <c r="B29" s="6" t="s">
        <v>88</v>
      </c>
      <c r="C29" s="78" t="s">
        <v>47</v>
      </c>
      <c r="D29" s="79"/>
      <c r="E29" s="79"/>
      <c r="F29" s="8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pX3cIU1bcU4PWizwKealN+HxgYXpWxVx5ZCzPwiduqZWOVvMFOz9JpC7LuK1f7abQ9EUDIx8iUVmw0q7SsqEiw==" saltValue="m2zrSpNK5Fp5iiHp7reVD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55</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7" t="s">
        <v>142</v>
      </c>
      <c r="C8" s="98"/>
      <c r="D8" s="99"/>
      <c r="E8" s="1"/>
    </row>
    <row r="9" spans="1:5" ht="15" customHeight="1" x14ac:dyDescent="0.25">
      <c r="A9" s="1"/>
      <c r="B9" s="51" t="s">
        <v>27</v>
      </c>
      <c r="C9" s="45" t="s">
        <v>145</v>
      </c>
      <c r="D9" s="11"/>
      <c r="E9" s="1"/>
    </row>
    <row r="10" spans="1:5" ht="15" customHeight="1" x14ac:dyDescent="0.25">
      <c r="A10" s="1"/>
      <c r="B10" s="64" t="s">
        <v>197</v>
      </c>
      <c r="C10" s="65">
        <v>22916597.59</v>
      </c>
      <c r="D10" s="14" t="s">
        <v>3</v>
      </c>
      <c r="E10" s="1"/>
    </row>
    <row r="11" spans="1:5" x14ac:dyDescent="0.25">
      <c r="A11" s="1"/>
      <c r="B11" s="64" t="s">
        <v>198</v>
      </c>
      <c r="C11" s="65">
        <v>122642</v>
      </c>
      <c r="D11" s="14" t="s">
        <v>3</v>
      </c>
      <c r="E11" s="1"/>
    </row>
    <row r="12" spans="1:5" ht="25.5" x14ac:dyDescent="0.25">
      <c r="A12" s="1"/>
      <c r="B12" s="64" t="s">
        <v>199</v>
      </c>
      <c r="C12" s="65">
        <v>195830.62</v>
      </c>
      <c r="D12" s="14" t="s">
        <v>3</v>
      </c>
      <c r="E12" s="1"/>
    </row>
    <row r="13" spans="1:5" x14ac:dyDescent="0.25">
      <c r="A13" s="1"/>
      <c r="B13" s="64" t="s">
        <v>200</v>
      </c>
      <c r="C13" s="65">
        <v>25802.880000000001</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23260873.09</v>
      </c>
      <c r="D19" s="13" t="s">
        <v>3</v>
      </c>
      <c r="E19" s="1"/>
    </row>
    <row r="20" spans="1:5" x14ac:dyDescent="0.25">
      <c r="A20" s="1"/>
      <c r="B20" s="52" t="s">
        <v>144</v>
      </c>
      <c r="C20" s="12">
        <f>C19*(1+'Fane 13. Nøgletal'!C11)^2</f>
        <v>26447512.448966984</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YKUYhRQynneR3Hxzoyi3eFeO8/YBsd7SV/OHwheIvFzf7f6UK5m9HDfIlEJxpvMiAaF2hYJ4dmT/NjBcorXlvA==" saltValue="K6Xu6XB7iuiFl0Fsg8rtV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172</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1"/>
      <c r="D7" s="1"/>
      <c r="E7" s="1"/>
    </row>
    <row r="8" spans="1:5" x14ac:dyDescent="0.25">
      <c r="A8" s="1"/>
      <c r="B8" s="97" t="s">
        <v>175</v>
      </c>
      <c r="C8" s="98"/>
      <c r="D8" s="99"/>
      <c r="E8" s="1"/>
    </row>
    <row r="9" spans="1:5" x14ac:dyDescent="0.25">
      <c r="A9" s="1"/>
      <c r="B9" s="56" t="s">
        <v>176</v>
      </c>
      <c r="C9" s="9">
        <v>-3102749.5627620742</v>
      </c>
      <c r="D9" s="39" t="s">
        <v>3</v>
      </c>
      <c r="E9" s="1"/>
    </row>
    <row r="10" spans="1:5" x14ac:dyDescent="0.25">
      <c r="A10" s="1"/>
      <c r="B10" s="56" t="s">
        <v>174</v>
      </c>
      <c r="C10" s="9">
        <v>-1814028.1611605734</v>
      </c>
      <c r="D10" s="14" t="s">
        <v>3</v>
      </c>
      <c r="E10" s="1"/>
    </row>
    <row r="11" spans="1:5" x14ac:dyDescent="0.25">
      <c r="A11" s="1"/>
      <c r="B11" s="52"/>
      <c r="C11" s="53"/>
      <c r="D11" s="19"/>
      <c r="E11" s="1"/>
    </row>
    <row r="12" spans="1:5" ht="53.85" customHeight="1" x14ac:dyDescent="0.25">
      <c r="A12" s="1"/>
      <c r="B12" s="106" t="s">
        <v>173</v>
      </c>
      <c r="C12" s="107"/>
      <c r="D12" s="108"/>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-1814028.1611605734</v>
      </c>
      <c r="D15" s="14" t="s">
        <v>3</v>
      </c>
      <c r="E15" s="1"/>
    </row>
    <row r="16" spans="1:5" x14ac:dyDescent="0.25">
      <c r="A16" s="1"/>
      <c r="B16" s="56" t="s">
        <v>185</v>
      </c>
      <c r="C16" s="9">
        <f>IF(SUM(C9)&gt;0,SUM(C9),0)</f>
        <v>0</v>
      </c>
      <c r="D16" s="14" t="s">
        <v>3</v>
      </c>
      <c r="E16" s="1"/>
    </row>
    <row r="17" spans="1:5" ht="26.25" x14ac:dyDescent="0.25">
      <c r="A17" s="1"/>
      <c r="B17" s="71" t="s">
        <v>179</v>
      </c>
      <c r="C17" s="62">
        <f>IF(SUM(C15:C16)&gt;0,0,SUM(C15:C16))</f>
        <v>-1814028.1611605734</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39056607.022969514</v>
      </c>
      <c r="D21" s="14" t="s">
        <v>3</v>
      </c>
      <c r="E21" s="1"/>
    </row>
    <row r="22" spans="1:5" x14ac:dyDescent="0.25">
      <c r="A22" s="1"/>
      <c r="B22" s="56" t="s">
        <v>182</v>
      </c>
      <c r="C22" s="9">
        <v>43566611</v>
      </c>
      <c r="D22" s="14" t="s">
        <v>3</v>
      </c>
      <c r="E22" s="1"/>
    </row>
    <row r="23" spans="1:5" x14ac:dyDescent="0.25">
      <c r="A23" s="1"/>
      <c r="B23" s="56" t="s">
        <v>28</v>
      </c>
      <c r="C23" s="9">
        <v>0</v>
      </c>
      <c r="D23" s="14" t="s">
        <v>3</v>
      </c>
      <c r="E23" s="1"/>
    </row>
    <row r="24" spans="1:5" x14ac:dyDescent="0.25">
      <c r="A24" s="1"/>
      <c r="B24" s="73" t="s">
        <v>183</v>
      </c>
      <c r="C24" s="46">
        <f>C21-C22-C23</f>
        <v>-4510003.9770304859</v>
      </c>
      <c r="D24" s="17" t="s">
        <v>3</v>
      </c>
      <c r="E24" s="1"/>
    </row>
    <row r="25" spans="1:5" x14ac:dyDescent="0.25">
      <c r="A25" s="1"/>
      <c r="B25" s="52"/>
      <c r="C25" s="53"/>
      <c r="D25" s="19"/>
      <c r="E25" s="1"/>
    </row>
    <row r="26" spans="1:5" x14ac:dyDescent="0.25">
      <c r="A26" s="1"/>
      <c r="B26" s="1"/>
      <c r="C26" s="1"/>
      <c r="D26" s="1"/>
      <c r="E26" s="1"/>
    </row>
    <row r="27" spans="1:5" x14ac:dyDescent="0.25">
      <c r="A27" s="1"/>
      <c r="B27" s="97" t="s">
        <v>184</v>
      </c>
      <c r="C27" s="98"/>
      <c r="D27" s="99"/>
      <c r="E27" s="1"/>
    </row>
    <row r="28" spans="1:5" x14ac:dyDescent="0.25">
      <c r="A28" s="1"/>
      <c r="B28" s="57" t="s">
        <v>65</v>
      </c>
      <c r="C28" s="9">
        <f>IF(C17&lt;0,IF(C24&lt;0,SUM(C17,C24),IF(C9&gt;0,SUM(C9:C10),C17)),IF(AND(C24&lt;0,SUM(C24,C10)&lt;0),IF(C10&lt;0,C24,IF(SUM(C9:C10)&gt;0,SUM(C24,C10),IF(AND(C24&lt;0,C17=0,C10&gt;0),IF(SUM(C9:C10)&gt;0,C24+C10,C24)))),IF(AND(SUM(C9:C10)&lt;0,C17=0,C24&lt;0),C24,0)))</f>
        <v>-6324032.1381910592</v>
      </c>
      <c r="D28" s="14" t="s">
        <v>3</v>
      </c>
      <c r="E28" s="1"/>
    </row>
    <row r="29" spans="1:5" x14ac:dyDescent="0.25">
      <c r="A29" s="1"/>
      <c r="B29" s="57" t="s">
        <v>48</v>
      </c>
      <c r="C29" s="9">
        <v>2</v>
      </c>
      <c r="D29" s="14" t="s">
        <v>18</v>
      </c>
      <c r="E29" s="1"/>
    </row>
    <row r="30" spans="1:5" x14ac:dyDescent="0.25">
      <c r="A30" s="1"/>
      <c r="B30" s="58" t="s">
        <v>64</v>
      </c>
      <c r="C30" s="10">
        <f>C28/C29</f>
        <v>-3162016.0690955296</v>
      </c>
      <c r="D30" s="17" t="s">
        <v>3</v>
      </c>
      <c r="E30" s="1"/>
    </row>
    <row r="31" spans="1:5" x14ac:dyDescent="0.25">
      <c r="A31" s="1"/>
      <c r="B31" s="109"/>
      <c r="C31" s="110"/>
      <c r="D31" s="11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8UBFhH/ho5/muXzVdKvlCxPRE6LsD7sesPblij3LvIKII7YnsZW21caYidgN0dYBnnbsiIDqfB26EkUnhpesQA==" saltValue="YktKuYpe39vTBL8EW21QW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5" t="s">
        <v>96</v>
      </c>
      <c r="C3" s="95"/>
      <c r="D3" s="95"/>
      <c r="E3" s="1"/>
    </row>
    <row r="4" spans="1:5" ht="15" customHeight="1" x14ac:dyDescent="0.25">
      <c r="A4" s="1"/>
      <c r="B4" s="95"/>
      <c r="C4" s="95"/>
      <c r="D4" s="95"/>
      <c r="E4" s="1"/>
    </row>
    <row r="5" spans="1:5" x14ac:dyDescent="0.25">
      <c r="A5" s="1"/>
      <c r="B5" s="95"/>
      <c r="C5" s="95"/>
      <c r="D5" s="95"/>
      <c r="E5" s="1"/>
    </row>
    <row r="6" spans="1:5" x14ac:dyDescent="0.25">
      <c r="A6" s="1"/>
      <c r="B6" s="1"/>
      <c r="C6" s="1"/>
      <c r="D6" s="1"/>
      <c r="E6" s="1"/>
    </row>
    <row r="7" spans="1:5" x14ac:dyDescent="0.25">
      <c r="A7" s="1"/>
      <c r="B7" s="1"/>
      <c r="C7" s="1"/>
      <c r="D7" s="1"/>
      <c r="E7" s="1"/>
    </row>
    <row r="8" spans="1:5" x14ac:dyDescent="0.25">
      <c r="A8" s="1"/>
      <c r="B8" s="97" t="s">
        <v>97</v>
      </c>
      <c r="C8" s="98"/>
      <c r="D8" s="99"/>
      <c r="E8" s="1"/>
    </row>
    <row r="9" spans="1:5" ht="15" customHeight="1" x14ac:dyDescent="0.25">
      <c r="A9" s="1"/>
      <c r="B9" s="112" t="s">
        <v>123</v>
      </c>
      <c r="C9" s="113"/>
      <c r="D9" s="114"/>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ANwkmhNPeUlRdYhnbtMFI5gdkH6Uova27xrrMPJR7bEq9eM3J4b4/fsXNSKCwSdM3FrBOBT/JlQJQGpONywcQ==" saltValue="iySIVW2396yGg1/Dulpue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90</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74</v>
      </c>
      <c r="C8" s="98"/>
      <c r="D8" s="98"/>
      <c r="E8" s="98"/>
      <c r="F8" s="98"/>
      <c r="G8" s="98"/>
      <c r="H8" s="98"/>
      <c r="I8" s="98"/>
      <c r="J8" s="98"/>
      <c r="K8" s="99"/>
      <c r="L8" s="1"/>
    </row>
    <row r="9" spans="1:12" ht="39.75" customHeight="1" x14ac:dyDescent="0.25">
      <c r="A9" s="1"/>
      <c r="B9" s="18" t="s">
        <v>0</v>
      </c>
      <c r="C9" s="18" t="s">
        <v>1</v>
      </c>
      <c r="D9" s="115" t="s">
        <v>83</v>
      </c>
      <c r="E9" s="116"/>
      <c r="F9" s="115" t="s">
        <v>2</v>
      </c>
      <c r="G9" s="116"/>
      <c r="H9" s="115" t="s">
        <v>84</v>
      </c>
      <c r="I9" s="116"/>
      <c r="J9" s="115" t="s">
        <v>25</v>
      </c>
      <c r="K9" s="116"/>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Cr4weCnJ5hNYRcjNKCrLxLJNxpHlZLYLDQ5qj4ktCpRlX60zwqa1FinrvqLg8gKmrHfyDzXBmE9fROre1wUyXg==" saltValue="fAlUk78ICSzbABn9I7x64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91</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201</v>
      </c>
      <c r="C11" s="21">
        <v>2726163</v>
      </c>
      <c r="D11" s="14" t="s">
        <v>3</v>
      </c>
      <c r="E11" s="9">
        <v>0</v>
      </c>
      <c r="F11" s="14" t="s">
        <v>3</v>
      </c>
      <c r="G11" s="1"/>
    </row>
    <row r="12" spans="1:7" x14ac:dyDescent="0.25">
      <c r="A12" s="1"/>
      <c r="B12" s="26" t="s">
        <v>202</v>
      </c>
      <c r="C12" s="21">
        <v>747111.85</v>
      </c>
      <c r="D12" s="14" t="s">
        <v>3</v>
      </c>
      <c r="E12" s="9">
        <v>0</v>
      </c>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3473274.85</v>
      </c>
      <c r="D17" s="13" t="s">
        <v>3</v>
      </c>
      <c r="E17" s="12">
        <f>SUM(E10:E16)</f>
        <v>0</v>
      </c>
      <c r="F17" s="13" t="s">
        <v>3</v>
      </c>
      <c r="G17" s="1"/>
    </row>
    <row r="18" spans="1:7" x14ac:dyDescent="0.25">
      <c r="A18" s="1"/>
      <c r="B18" s="52" t="s">
        <v>147</v>
      </c>
      <c r="C18" s="12">
        <f>C17*(1+'Fane 13. Nøgletal'!C11)</f>
        <v>3703552.9725550003</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W5LTzUnosGUbqxJAYtiqakG7kQ6K8BWW6/VbjNRJ6oixEEpwPXXd+qFv5Atb9GjrXq1xTOqa6IZy1lOWBtd31w==" saltValue="/6CrZy0U+dpH7RZfD8jcY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92</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150</v>
      </c>
      <c r="C8" s="98"/>
      <c r="D8" s="98"/>
      <c r="E8" s="98"/>
      <c r="F8" s="99"/>
      <c r="G8" s="1"/>
    </row>
    <row r="9" spans="1:7" x14ac:dyDescent="0.25">
      <c r="A9" s="1"/>
      <c r="B9" s="71" t="s">
        <v>15</v>
      </c>
      <c r="C9" s="73" t="s">
        <v>10</v>
      </c>
      <c r="D9" s="74"/>
      <c r="E9" s="73" t="s">
        <v>26</v>
      </c>
      <c r="F9" s="27"/>
      <c r="G9" s="1"/>
    </row>
    <row r="10" spans="1:7" x14ac:dyDescent="0.25">
      <c r="A10" s="1"/>
      <c r="B10" s="23" t="s">
        <v>203</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7IfqBziJtkRUqMzi+LVdLKjxZYikIGoISq/Fde/C443BVd0KdxXLTAQkBBbgP+kqxvxB0X7W5OYXO/tJ6Cx+A==" saltValue="KSJo/fTF810PRRWAxG2C7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93</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97" t="s">
        <v>59</v>
      </c>
      <c r="C8" s="98"/>
      <c r="D8" s="98"/>
      <c r="E8" s="98"/>
      <c r="F8" s="99"/>
      <c r="G8" s="1"/>
    </row>
    <row r="9" spans="1:7" ht="15" customHeight="1" x14ac:dyDescent="0.25">
      <c r="A9" s="1"/>
      <c r="B9" s="54" t="s">
        <v>60</v>
      </c>
      <c r="C9" s="117" t="s">
        <v>10</v>
      </c>
      <c r="D9" s="118"/>
      <c r="E9" s="117" t="s">
        <v>26</v>
      </c>
      <c r="F9" s="118"/>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QAeP+FfEGB9DJL2kqrTdClbFjekMhl3PFVTmW5+UoLTNEl/KrOfL6W9YqhBPqU9NTM00vuLzOvd/fzW/6bGEOw==" saltValue="mYttx4JiKOdjIZJKM0QT8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94</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7" t="s">
        <v>152</v>
      </c>
      <c r="C8" s="98"/>
      <c r="D8" s="98"/>
      <c r="E8" s="98"/>
      <c r="F8" s="99"/>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Ybq2cKd+xLE1PdU9/yYKyEc6Qs1Ee7AY5v1FXctt7TzxNdFM3nH5OR3CbpkHJFDrr0DS4vWrrIjGknNOKwKtQ==" saltValue="VsQoH1IAXuM5JlQ+y3zAN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5" t="s">
        <v>95</v>
      </c>
      <c r="C3" s="95"/>
      <c r="D3" s="1"/>
    </row>
    <row r="4" spans="1:4" ht="15" customHeight="1" x14ac:dyDescent="0.25">
      <c r="A4" s="1"/>
      <c r="B4" s="95"/>
      <c r="C4" s="95"/>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7"/>
      <c r="C12" s="99"/>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fjCtaswqfDWxceB1mRV6T+qRkWSkraSOHhoB0XAqQ/s5uMhqqkTIl0i7VFueRWq2d0qVjf5+rCeosNOiPH6Cww==" saltValue="YNp1g2iYZ+IfpYosGc6Qv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18779232.663161006</v>
      </c>
      <c r="D9" s="8" t="s">
        <v>3</v>
      </c>
      <c r="E9" s="1"/>
    </row>
    <row r="10" spans="1:5" ht="17.100000000000001" customHeight="1" x14ac:dyDescent="0.25">
      <c r="A10" s="1"/>
      <c r="B10" s="24" t="s">
        <v>32</v>
      </c>
      <c r="C10" s="7">
        <f>'Fane 10.1. Varige tillæg'!C18</f>
        <v>3703552.9725550003</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1490608.6876479711</v>
      </c>
      <c r="D16" s="8" t="s">
        <v>3</v>
      </c>
      <c r="E16" s="1"/>
    </row>
    <row r="17" spans="1:5" ht="17.100000000000001" customHeight="1" x14ac:dyDescent="0.25">
      <c r="A17" s="1"/>
      <c r="B17" s="24" t="s">
        <v>9</v>
      </c>
      <c r="C17" s="9">
        <f>-SUM(C9:C16)*'Fane 5. Individuelt eff. krav'!C9</f>
        <v>-48327.135943919326</v>
      </c>
      <c r="D17" s="8" t="s">
        <v>3</v>
      </c>
      <c r="E17" s="1"/>
    </row>
    <row r="18" spans="1:5" ht="17.100000000000001" customHeight="1" x14ac:dyDescent="0.25">
      <c r="A18" s="1"/>
      <c r="B18" s="24" t="s">
        <v>21</v>
      </c>
      <c r="C18" s="9">
        <f>-'Fane 4.1. Gen. krav - drift'!C17</f>
        <v>-333560.02052248263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23591507.166897576</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26447512.448966984</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-3162016.0690955296</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46877003.54676903</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0gKxYMr1/kx9FKX4/reXoWwTXC4U2UhI4/s3tggoFIqLv4Axh3jxddodRvHPUCIcGOAQ9AoS8fYxKQf1DnXBg==" saltValue="MLCLdvmXh6kHwBJS03KSR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129</v>
      </c>
      <c r="C3" s="93"/>
      <c r="D3" s="93"/>
      <c r="E3" s="1"/>
    </row>
    <row r="4" spans="1:5" ht="15" customHeight="1" x14ac:dyDescent="0.25">
      <c r="A4" s="1"/>
      <c r="B4" s="93"/>
      <c r="C4" s="93"/>
      <c r="D4" s="93"/>
      <c r="E4" s="1"/>
    </row>
    <row r="5" spans="1:5" x14ac:dyDescent="0.25">
      <c r="A5" s="1"/>
      <c r="B5" s="94"/>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23591507.166897576</v>
      </c>
      <c r="D9" s="8" t="s">
        <v>3</v>
      </c>
      <c r="E9" s="1"/>
    </row>
    <row r="10" spans="1:5" ht="15" customHeight="1" x14ac:dyDescent="0.25">
      <c r="A10" s="1"/>
      <c r="B10" s="47" t="s">
        <v>17</v>
      </c>
      <c r="C10" s="41">
        <f>C9*'Fane 13. Nøgletal'!C11</f>
        <v>1564116.9251653093</v>
      </c>
      <c r="D10" s="8" t="s">
        <v>3</v>
      </c>
      <c r="E10" s="1"/>
    </row>
    <row r="11" spans="1:5" ht="15" customHeight="1" x14ac:dyDescent="0.25">
      <c r="A11" s="1"/>
      <c r="B11" s="47" t="s">
        <v>9</v>
      </c>
      <c r="C11" s="9">
        <f>-SUM(C9:C10)*'Fane 5. Individuelt eff. krav'!C9</f>
        <v>-50710.352019966558</v>
      </c>
      <c r="D11" s="8" t="s">
        <v>3</v>
      </c>
      <c r="E11" s="1"/>
    </row>
    <row r="12" spans="1:5" ht="15" customHeight="1" x14ac:dyDescent="0.25">
      <c r="A12" s="1"/>
      <c r="B12" s="47" t="s">
        <v>21</v>
      </c>
      <c r="C12" s="9">
        <f>-'Fane 4.1. Gen. krav - drift'!C22</f>
        <v>-348561.54888546083</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24756352.19115746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28200982.524333496</v>
      </c>
      <c r="D16" s="11" t="s">
        <v>3</v>
      </c>
      <c r="E16" s="1"/>
    </row>
    <row r="17" spans="1:5" x14ac:dyDescent="0.25">
      <c r="A17" s="1"/>
      <c r="B17" s="25" t="s">
        <v>65</v>
      </c>
      <c r="C17" s="53"/>
      <c r="D17" s="19"/>
      <c r="E17" s="1"/>
    </row>
    <row r="18" spans="1:5" ht="15" customHeight="1" x14ac:dyDescent="0.25">
      <c r="A18" s="1"/>
      <c r="B18" s="45" t="s">
        <v>66</v>
      </c>
      <c r="C18" s="10">
        <f>'Fane 7. Kontrol af ØR2023'!C30</f>
        <v>-3162016.0690955296</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49795318.646395423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jQoH6WOe+vQbgN4AVPJEjxZe1dZUhNrxE4MLP7RLbCXgsKEOWFxTqGLWzAm6wHRIYxRQDg68DdU7FaoPbs58w==" saltValue="LGYSdmlNGPSaXkqjY8YBd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24756352.19115746</v>
      </c>
      <c r="D9" s="8" t="s">
        <v>3</v>
      </c>
      <c r="E9" s="1"/>
    </row>
    <row r="10" spans="1:5" ht="15" customHeight="1" x14ac:dyDescent="0.25">
      <c r="A10" s="1"/>
      <c r="B10" s="47" t="s">
        <v>17</v>
      </c>
      <c r="C10" s="41">
        <f>C9*'Fane 13. Nøgletal'!C11</f>
        <v>1641346.1502737396</v>
      </c>
      <c r="D10" s="8" t="s">
        <v>3</v>
      </c>
      <c r="E10" s="1"/>
    </row>
    <row r="11" spans="1:5" ht="15" customHeight="1" x14ac:dyDescent="0.25">
      <c r="A11" s="1"/>
      <c r="B11" s="47" t="s">
        <v>9</v>
      </c>
      <c r="C11" s="9">
        <f>-SUM(C9:C10)*'Fane 5. Individuelt eff. krav'!C9</f>
        <v>-53214.206513494166</v>
      </c>
      <c r="D11" s="8" t="s">
        <v>3</v>
      </c>
      <c r="E11" s="1"/>
    </row>
    <row r="12" spans="1:5" ht="15" customHeight="1" x14ac:dyDescent="0.25">
      <c r="A12" s="1"/>
      <c r="B12" s="47" t="s">
        <v>21</v>
      </c>
      <c r="C12" s="9">
        <f>-'Fane 4.1. Gen. krav - drift'!C27</f>
        <v>-364237.7559850355</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25980246.37893267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30070707.665696807</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56050954.044629477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mshU8q0B+1qslR1sISdCV1/2OfFHD4ZL2htPkH3lvmLrTo8N1SKK8AA50SZN+mv26wBqZp02WhvscinLSTINg==" saltValue="Nfd+SE8VgkmCVxbGVeqw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131</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25980246.37893267</v>
      </c>
      <c r="D9" s="8" t="s">
        <v>3</v>
      </c>
      <c r="E9" s="1"/>
    </row>
    <row r="10" spans="1:5" ht="15" customHeight="1" x14ac:dyDescent="0.25">
      <c r="A10" s="1"/>
      <c r="B10" s="47" t="s">
        <v>17</v>
      </c>
      <c r="C10" s="9">
        <f>C9*'Fane 13. Nøgletal'!C11</f>
        <v>1722490.3349232359</v>
      </c>
      <c r="D10" s="8" t="s">
        <v>3</v>
      </c>
      <c r="E10" s="1"/>
    </row>
    <row r="11" spans="1:5" ht="15" customHeight="1" x14ac:dyDescent="0.25">
      <c r="A11" s="1"/>
      <c r="B11" s="47" t="s">
        <v>9</v>
      </c>
      <c r="C11" s="9">
        <f>-SUM(C9:C10)*'Fane 5. Individuelt eff. krav'!C9</f>
        <v>-55844.988203625311</v>
      </c>
      <c r="D11" s="8" t="s">
        <v>3</v>
      </c>
      <c r="E11" s="1"/>
    </row>
    <row r="12" spans="1:5" ht="15" customHeight="1" x14ac:dyDescent="0.25">
      <c r="A12" s="1"/>
      <c r="B12" s="47" t="s">
        <v>21</v>
      </c>
      <c r="C12" s="9">
        <f>-'Fane 4.1. Gen. krav - drift'!C32</f>
        <v>-380618.98482270649</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27266272.740829576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32064395.583932508</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59330668.324762084</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A9v3JRLPvvtzINaHxQj6HrXCibu75+OjyZYOAMYmpBYAixInSfzp2gDQiYrzy0Y0WQNvHCTFQ1herL2ct+How==" saltValue="fE5j2YprNHb8P3Yz5C8D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5" t="s">
        <v>134</v>
      </c>
      <c r="C3" s="95"/>
      <c r="D3" s="95"/>
      <c r="E3" s="1"/>
    </row>
    <row r="4" spans="1:5" ht="15" customHeight="1" x14ac:dyDescent="0.25">
      <c r="A4" s="1"/>
      <c r="B4" s="95"/>
      <c r="C4" s="95"/>
      <c r="D4" s="95"/>
      <c r="E4" s="1"/>
    </row>
    <row r="5" spans="1:5" ht="15" customHeight="1" x14ac:dyDescent="0.25">
      <c r="A5" s="1"/>
      <c r="B5" s="67"/>
      <c r="C5" s="67"/>
      <c r="D5" s="67"/>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15259133.541892212</v>
      </c>
      <c r="D9" s="8" t="s">
        <v>3</v>
      </c>
      <c r="E9" s="1"/>
    </row>
    <row r="10" spans="1:5" x14ac:dyDescent="0.25">
      <c r="A10" s="1"/>
      <c r="B10" s="24" t="s">
        <v>32</v>
      </c>
      <c r="C10" s="7">
        <v>3017129.9367999998</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787009.2529848027</v>
      </c>
      <c r="D16" s="8" t="s">
        <v>3</v>
      </c>
      <c r="E16" s="1"/>
    </row>
    <row r="17" spans="1:5" x14ac:dyDescent="0.25">
      <c r="A17" s="1"/>
      <c r="B17" s="24" t="s">
        <v>9</v>
      </c>
      <c r="C17" s="9">
        <v>-40418.64843304336</v>
      </c>
      <c r="D17" s="8" t="s">
        <v>3</v>
      </c>
      <c r="E17" s="1"/>
    </row>
    <row r="18" spans="1:5" x14ac:dyDescent="0.25">
      <c r="A18" s="1"/>
      <c r="B18" s="24" t="s">
        <v>21</v>
      </c>
      <c r="C18" s="9">
        <v>-243621.42008296351</v>
      </c>
      <c r="D18" s="8" t="s">
        <v>3</v>
      </c>
      <c r="E18" s="1"/>
    </row>
    <row r="19" spans="1:5" x14ac:dyDescent="0.25">
      <c r="A19" s="1"/>
      <c r="B19" s="24" t="s">
        <v>22</v>
      </c>
      <c r="C19" s="9">
        <v>0</v>
      </c>
      <c r="D19" s="8" t="s">
        <v>3</v>
      </c>
      <c r="E19" s="1"/>
    </row>
    <row r="20" spans="1:5" x14ac:dyDescent="0.25">
      <c r="A20" s="1"/>
      <c r="B20" s="73" t="s">
        <v>19</v>
      </c>
      <c r="C20" s="10">
        <v>18779232.663161006</v>
      </c>
      <c r="D20" s="11" t="s">
        <v>3</v>
      </c>
      <c r="E20" s="1"/>
    </row>
    <row r="21" spans="1:5" x14ac:dyDescent="0.25">
      <c r="A21" s="1"/>
      <c r="B21" s="52" t="s">
        <v>11</v>
      </c>
      <c r="C21" s="53"/>
      <c r="D21" s="19"/>
      <c r="E21" s="1"/>
    </row>
    <row r="22" spans="1:5" x14ac:dyDescent="0.25">
      <c r="A22" s="1"/>
      <c r="B22" s="54" t="s">
        <v>11</v>
      </c>
      <c r="C22" s="10">
        <v>28020956.507841919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-2268754</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44531435.171002924</v>
      </c>
      <c r="D33" s="19" t="s">
        <v>3</v>
      </c>
      <c r="E33" s="1"/>
    </row>
    <row r="34" spans="1:5" ht="30" customHeight="1" x14ac:dyDescent="0.25">
      <c r="A34" s="1"/>
      <c r="B34" s="96" t="s">
        <v>193</v>
      </c>
      <c r="C34" s="96"/>
      <c r="D34" s="96"/>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U+Fda97f9loZzJAGN7AN+QWiGozLa1frcsuOz16gCCzuomMQQ4cQeHx4FZMPLYHU/LJsEraflkU/h+MS4bt9fA==" saltValue="D95hSepORqu3CMbAPNaH3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5" t="s">
        <v>53</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32"/>
      <c r="D7" s="1"/>
      <c r="E7" s="1"/>
    </row>
    <row r="8" spans="1:5" x14ac:dyDescent="0.25">
      <c r="A8" s="1"/>
      <c r="B8" s="97" t="s">
        <v>75</v>
      </c>
      <c r="C8" s="98"/>
      <c r="D8" s="99"/>
      <c r="E8" s="1"/>
    </row>
    <row r="9" spans="1:5" x14ac:dyDescent="0.25">
      <c r="A9" s="1"/>
      <c r="B9" s="56" t="s">
        <v>167</v>
      </c>
      <c r="C9" s="22">
        <v>8920156.9684547335</v>
      </c>
      <c r="D9" s="14" t="s">
        <v>3</v>
      </c>
      <c r="E9" s="1"/>
    </row>
    <row r="10" spans="1:5" x14ac:dyDescent="0.25">
      <c r="A10" s="1"/>
      <c r="B10" s="56" t="s">
        <v>110</v>
      </c>
      <c r="C10" s="22">
        <f>('Fane 3. Omkostninger i ØR2024'!C10+'Fane 3. Omkostninger i ØR2024'!C12+'Fane 3. Omkostninger i ØR2024'!C14)*(1+'Fane 13. Nøgletal'!C10)</f>
        <v>3260914.0356934397</v>
      </c>
      <c r="D10" s="14" t="s">
        <v>3</v>
      </c>
      <c r="E10" s="1"/>
    </row>
    <row r="11" spans="1:5" x14ac:dyDescent="0.25">
      <c r="A11" s="1"/>
      <c r="B11" s="56" t="s">
        <v>81</v>
      </c>
      <c r="C11" s="22">
        <f>C9*'Fane 13. Nøgletal'!C23+C10*'Fane 13. Nøgletal'!C23</f>
        <v>243621.42008296348</v>
      </c>
      <c r="D11" s="14" t="s">
        <v>3</v>
      </c>
      <c r="E11" s="1"/>
    </row>
    <row r="12" spans="1:5" x14ac:dyDescent="0.25">
      <c r="A12" s="1"/>
      <c r="B12" s="52"/>
      <c r="C12" s="31"/>
      <c r="D12" s="19"/>
      <c r="E12" s="1"/>
    </row>
    <row r="13" spans="1:5" x14ac:dyDescent="0.25">
      <c r="A13" s="1"/>
      <c r="B13" s="1"/>
      <c r="C13" s="32"/>
      <c r="D13" s="1"/>
      <c r="E13" s="1"/>
    </row>
    <row r="14" spans="1:5" x14ac:dyDescent="0.25">
      <c r="A14" s="1"/>
      <c r="B14" s="97" t="s">
        <v>153</v>
      </c>
      <c r="C14" s="98"/>
      <c r="D14" s="99"/>
      <c r="E14" s="1"/>
    </row>
    <row r="15" spans="1:5" x14ac:dyDescent="0.25">
      <c r="A15" s="1"/>
      <c r="B15" s="56" t="s">
        <v>168</v>
      </c>
      <c r="C15" s="22">
        <f>(C9+C10-C11)*(1+'Fane 13. Nøgletal'!C11)</f>
        <v>12728902.491488734</v>
      </c>
      <c r="D15" s="14" t="s">
        <v>3</v>
      </c>
      <c r="E15" s="1"/>
    </row>
    <row r="16" spans="1:5" x14ac:dyDescent="0.25">
      <c r="A16" s="1"/>
      <c r="B16" s="56" t="s">
        <v>154</v>
      </c>
      <c r="C16" s="22">
        <f>('Fane 2.1. Økonomisk ramme 2025'!C10+'Fane 2.1. Økonomisk ramme 2025'!C12+'Fane 2.1. Økonomisk ramme 2025'!C14)*(1+'Fane 13. Nøgletal'!C11)</f>
        <v>3949098.5346353971</v>
      </c>
      <c r="D16" s="14" t="s">
        <v>3</v>
      </c>
      <c r="E16" s="1"/>
    </row>
    <row r="17" spans="1:5" x14ac:dyDescent="0.25">
      <c r="A17" s="1"/>
      <c r="B17" s="56" t="s">
        <v>155</v>
      </c>
      <c r="C17" s="22">
        <f>(C15+C16)*'Fane 13. Nøgletal'!C23</f>
        <v>333560.02052248263</v>
      </c>
      <c r="D17" s="14" t="s">
        <v>3</v>
      </c>
      <c r="E17" s="1"/>
    </row>
    <row r="18" spans="1:5" x14ac:dyDescent="0.25">
      <c r="A18" s="1"/>
      <c r="B18" s="52"/>
      <c r="C18" s="31"/>
      <c r="D18" s="19"/>
      <c r="E18" s="1"/>
    </row>
    <row r="19" spans="1:5" x14ac:dyDescent="0.25">
      <c r="A19" s="1"/>
      <c r="B19" s="1"/>
      <c r="C19" s="32"/>
      <c r="D19" s="1"/>
      <c r="E19" s="1"/>
    </row>
    <row r="20" spans="1:5" x14ac:dyDescent="0.25">
      <c r="A20" s="1"/>
      <c r="B20" s="97" t="s">
        <v>170</v>
      </c>
      <c r="C20" s="98"/>
      <c r="D20" s="99"/>
      <c r="E20" s="1"/>
    </row>
    <row r="21" spans="1:5" x14ac:dyDescent="0.25">
      <c r="A21" s="1"/>
      <c r="B21" s="56" t="s">
        <v>169</v>
      </c>
      <c r="C21" s="48">
        <f>(C15+C16-C17)*(1+'Fane 13. Nøgletal'!C11)</f>
        <v>17428077.44427304</v>
      </c>
      <c r="D21" s="14" t="s">
        <v>3</v>
      </c>
      <c r="E21" s="1"/>
    </row>
    <row r="22" spans="1:5" x14ac:dyDescent="0.25">
      <c r="A22" s="1"/>
      <c r="B22" s="56" t="s">
        <v>171</v>
      </c>
      <c r="C22" s="48">
        <f>(C21)*'Fane 13. Nøgletal'!C23</f>
        <v>348561.54888546083</v>
      </c>
      <c r="D22" s="14" t="s">
        <v>3</v>
      </c>
      <c r="E22" s="1"/>
    </row>
    <row r="23" spans="1:5" x14ac:dyDescent="0.25">
      <c r="A23" s="1"/>
      <c r="B23" s="52"/>
      <c r="C23" s="31"/>
      <c r="D23" s="19"/>
      <c r="E23" s="1"/>
    </row>
    <row r="24" spans="1:5" x14ac:dyDescent="0.25">
      <c r="A24" s="1"/>
      <c r="B24" s="1"/>
      <c r="C24" s="32"/>
      <c r="D24" s="1"/>
      <c r="E24" s="1"/>
    </row>
    <row r="25" spans="1:5" x14ac:dyDescent="0.25">
      <c r="A25" s="1"/>
      <c r="B25" s="97" t="s">
        <v>116</v>
      </c>
      <c r="C25" s="98"/>
      <c r="D25" s="99"/>
      <c r="E25" s="1"/>
    </row>
    <row r="26" spans="1:5" x14ac:dyDescent="0.25">
      <c r="A26" s="1"/>
      <c r="B26" s="56" t="s">
        <v>117</v>
      </c>
      <c r="C26" s="48">
        <f>(C21-C22)*(1+'Fane 13. Nøgletal'!C11)</f>
        <v>18211887.799251776</v>
      </c>
      <c r="D26" s="14" t="s">
        <v>3</v>
      </c>
      <c r="E26" s="1"/>
    </row>
    <row r="27" spans="1:5" x14ac:dyDescent="0.25">
      <c r="A27" s="1"/>
      <c r="B27" s="56" t="s">
        <v>118</v>
      </c>
      <c r="C27" s="48">
        <f>(C26)*'Fane 13. Nøgletal'!C23</f>
        <v>364237.7559850355</v>
      </c>
      <c r="D27" s="14" t="s">
        <v>3</v>
      </c>
      <c r="E27" s="1"/>
    </row>
    <row r="28" spans="1:5" x14ac:dyDescent="0.25">
      <c r="A28" s="1"/>
      <c r="B28" s="52"/>
      <c r="C28" s="42"/>
      <c r="D28" s="19"/>
      <c r="E28" s="1"/>
    </row>
    <row r="29" spans="1:5" x14ac:dyDescent="0.25">
      <c r="A29" s="1"/>
      <c r="B29" s="1"/>
      <c r="C29" s="32"/>
      <c r="D29" s="1"/>
      <c r="E29" s="1"/>
    </row>
    <row r="30" spans="1:5" x14ac:dyDescent="0.25">
      <c r="A30" s="1"/>
      <c r="B30" s="97" t="s">
        <v>136</v>
      </c>
      <c r="C30" s="98"/>
      <c r="D30" s="99"/>
      <c r="E30" s="1"/>
    </row>
    <row r="31" spans="1:5" x14ac:dyDescent="0.25">
      <c r="A31" s="1"/>
      <c r="B31" s="56" t="s">
        <v>137</v>
      </c>
      <c r="C31" s="48">
        <f>(C26-C27)*(1+'Fane 13. Nøgletal'!C11)</f>
        <v>19030949.241135325</v>
      </c>
      <c r="D31" s="14" t="s">
        <v>3</v>
      </c>
      <c r="E31" s="1"/>
    </row>
    <row r="32" spans="1:5" x14ac:dyDescent="0.25">
      <c r="A32" s="1"/>
      <c r="B32" s="56" t="s">
        <v>138</v>
      </c>
      <c r="C32" s="48">
        <f>(C31)*'Fane 13. Nøgletal'!C23</f>
        <v>380618.98482270649</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H1EzAJx9VEaXy/sK3k6wtp1ZhiIWpvkPRTGPDsjmdqZt63iC4RniweXu3zCKV37Lk1DfnXgW+h/p63mP0J/BDQ==" saltValue="pI/e11/tfB7MZj3dmLlup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0" t="s">
        <v>54</v>
      </c>
      <c r="C3" s="101"/>
      <c r="D3" s="101"/>
      <c r="E3" s="1"/>
    </row>
    <row r="4" spans="1:5" ht="15" customHeight="1" x14ac:dyDescent="0.25">
      <c r="A4" s="1"/>
      <c r="B4" s="101"/>
      <c r="C4" s="101"/>
      <c r="D4" s="101"/>
      <c r="E4" s="1"/>
    </row>
    <row r="5" spans="1:5" ht="15" customHeight="1" x14ac:dyDescent="0.25">
      <c r="A5" s="1"/>
      <c r="B5" s="101"/>
      <c r="C5" s="101"/>
      <c r="D5" s="101"/>
      <c r="E5" s="1"/>
    </row>
    <row r="6" spans="1:5" ht="15" customHeight="1" x14ac:dyDescent="0.25">
      <c r="A6" s="1"/>
      <c r="B6" s="1"/>
      <c r="C6" s="1"/>
      <c r="D6" s="1"/>
      <c r="E6" s="1"/>
    </row>
    <row r="7" spans="1:5" ht="15" customHeight="1" x14ac:dyDescent="0.25">
      <c r="A7" s="1"/>
      <c r="B7" s="1"/>
      <c r="C7" s="1"/>
      <c r="D7" s="1"/>
      <c r="E7" s="1"/>
    </row>
    <row r="8" spans="1:5" x14ac:dyDescent="0.25">
      <c r="A8" s="1"/>
      <c r="B8" s="97" t="s">
        <v>76</v>
      </c>
      <c r="C8" s="98"/>
      <c r="D8" s="99"/>
      <c r="E8" s="1"/>
    </row>
    <row r="9" spans="1:5" x14ac:dyDescent="0.25">
      <c r="A9" s="1"/>
      <c r="B9" s="56" t="s">
        <v>162</v>
      </c>
      <c r="C9" s="48">
        <v>7376977.1919737756</v>
      </c>
      <c r="D9" s="14" t="s">
        <v>3</v>
      </c>
      <c r="E9" s="1"/>
    </row>
    <row r="10" spans="1:5" x14ac:dyDescent="0.25">
      <c r="A10" s="1"/>
      <c r="B10" s="56" t="s">
        <v>113</v>
      </c>
      <c r="C10" s="48">
        <f>('Fane 3. Omkostninger i ØR2024'!C11+'Fane 3. Omkostninger i ØR2024'!C13+'Fane 3. Omkostninger i ØR2024'!C15)*(1+'Fane 13. Nøgletal'!C10)</f>
        <v>0</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7" t="s">
        <v>156</v>
      </c>
      <c r="C14" s="98"/>
      <c r="D14" s="99"/>
      <c r="E14" s="1"/>
    </row>
    <row r="15" spans="1:5" x14ac:dyDescent="0.25">
      <c r="A15" s="1"/>
      <c r="B15" s="56" t="s">
        <v>163</v>
      </c>
      <c r="C15" s="48">
        <f>(C9+C10-C11)*(1+'Fane 13. Nøgletal'!C11)</f>
        <v>7866070.7798016369</v>
      </c>
      <c r="D15" s="14" t="s">
        <v>3</v>
      </c>
      <c r="E15" s="1"/>
    </row>
    <row r="16" spans="1:5" x14ac:dyDescent="0.25">
      <c r="A16" s="1"/>
      <c r="B16" s="56" t="s">
        <v>157</v>
      </c>
      <c r="C16" s="48">
        <f>('Fane 2.1. Økonomisk ramme 2025'!C11+'Fane 2.1. Økonomisk ramme 2025'!C13+'Fane 2.1. Økonomisk ramme 2025'!C15)*(1+'Fane 13. Nøgletal'!C11)</f>
        <v>0</v>
      </c>
      <c r="D16" s="14" t="s">
        <v>3</v>
      </c>
      <c r="E16" s="1"/>
    </row>
    <row r="17" spans="1:5" x14ac:dyDescent="0.25">
      <c r="A17" s="1"/>
      <c r="B17" s="56" t="s">
        <v>158</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7" t="s">
        <v>166</v>
      </c>
      <c r="C20" s="98"/>
      <c r="D20" s="99"/>
      <c r="E20" s="1"/>
    </row>
    <row r="21" spans="1:5" x14ac:dyDescent="0.25">
      <c r="A21" s="1"/>
      <c r="B21" s="56" t="s">
        <v>164</v>
      </c>
      <c r="C21" s="48">
        <f>(C15+C16-C17)*(1+'Fane 13. Nøgletal'!C11)</f>
        <v>8387591.2725024857</v>
      </c>
      <c r="D21" s="14" t="s">
        <v>3</v>
      </c>
      <c r="E21" s="1"/>
    </row>
    <row r="22" spans="1:5" x14ac:dyDescent="0.25">
      <c r="A22" s="1"/>
      <c r="B22" s="56" t="s">
        <v>165</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7" t="s">
        <v>119</v>
      </c>
      <c r="C25" s="98"/>
      <c r="D25" s="99"/>
      <c r="E25" s="1"/>
    </row>
    <row r="26" spans="1:5" x14ac:dyDescent="0.25">
      <c r="A26" s="1"/>
      <c r="B26" s="56" t="s">
        <v>120</v>
      </c>
      <c r="C26" s="48">
        <f>(C21-C22)*(1+'Fane 13. Nøgletal'!C11)</f>
        <v>8943688.5738694016</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7" t="s">
        <v>139</v>
      </c>
      <c r="C30" s="98"/>
      <c r="D30" s="99"/>
      <c r="E30" s="1"/>
    </row>
    <row r="31" spans="1:5" x14ac:dyDescent="0.25">
      <c r="A31" s="1"/>
      <c r="B31" s="56" t="s">
        <v>140</v>
      </c>
      <c r="C31" s="48">
        <f>(C26-C27)*(1+'Fane 13. Nøgletal'!C11)</f>
        <v>9536655.1263169423</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2UcvUvY9LtEZ8w3DpdWqUVtXF3AxW7WKe0Rvyy0wL0NVx3rl9lnIkd6BlVxioAmz8xNPEWTvcUNZarfEQqFcQ==" saltValue="n3yD8CAW+ZsdxSnRpnVB3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3" t="s">
        <v>41</v>
      </c>
      <c r="C3" s="93"/>
      <c r="D3" s="1"/>
    </row>
    <row r="4" spans="1:4" ht="1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7" t="s">
        <v>9</v>
      </c>
      <c r="C8" s="99"/>
      <c r="D8" s="1"/>
    </row>
    <row r="9" spans="1:4" x14ac:dyDescent="0.25">
      <c r="A9" s="1"/>
      <c r="B9" s="56" t="s">
        <v>160</v>
      </c>
      <c r="C9" s="44">
        <v>2.0158653919449651E-3</v>
      </c>
      <c r="D9" s="1"/>
    </row>
    <row r="10" spans="1:4" x14ac:dyDescent="0.25">
      <c r="A10" s="1"/>
      <c r="B10" s="52"/>
      <c r="C10" s="19"/>
      <c r="D10" s="1"/>
    </row>
    <row r="11" spans="1:4" ht="15" customHeight="1" x14ac:dyDescent="0.25">
      <c r="A11" s="1"/>
      <c r="B11" s="102" t="s">
        <v>161</v>
      </c>
      <c r="C11" s="103"/>
      <c r="D11" s="1"/>
    </row>
    <row r="12" spans="1:4" ht="13.5" customHeight="1" x14ac:dyDescent="0.25">
      <c r="A12" s="1"/>
      <c r="B12" s="104"/>
      <c r="C12" s="10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cn7xsp2siOCP9K/4NaBXY84dIwXAepo4Nns+qDzDqx8h9sGWTS+JpsbI56giPSttdUIAZ5uUO7Twk5Id+JFBhA==" saltValue="/JhgaU5+V4CfuQDICg7ih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2024-09-10T08:28:03Z</dcterms:modified>
</cp:coreProperties>
</file>