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ønderborg Spildevandsforsyning AS (S09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6" i="40" l="1"/>
  <c r="E12" i="40"/>
  <c r="C14" i="19" l="1"/>
  <c r="E26" i="32" l="1"/>
  <c r="E18" i="32" l="1"/>
  <c r="E10" i="32"/>
  <c r="E36" i="32" s="1"/>
  <c r="E30" i="32" l="1"/>
  <c r="C30" i="2" s="1"/>
  <c r="E16" i="27"/>
  <c r="E17" i="27" s="1"/>
  <c r="E10" i="11" l="1"/>
  <c r="G8" i="30" l="1"/>
  <c r="E29" i="20" l="1"/>
  <c r="E23" i="20"/>
  <c r="E17" i="20"/>
  <c r="E11" i="20"/>
  <c r="E38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<sst xmlns="http://schemas.openxmlformats.org/spreadsheetml/2006/main" count="690" uniqueCount="278">
  <si>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</si>
  <si>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</si>
  <si>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</si>
  <si>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</si>
  <si>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</si>
  <si>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</si>
  <si>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</si>
  <si>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</si>
  <si>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</si>
  <si>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</si>
  <si>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</si>
  <si>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</si>
  <si>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</si>
  <si>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</si>
  <si>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</si>
  <si>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</si>
  <si>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</si>
  <si>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</si>
  <si>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</si>
  <si>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</si>
  <si>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</si>
  <si>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</si>
  <si>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</si>
  <si>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</si>
  <si>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</si>
  <si>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</si>
  <si>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</si>
  <si>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</si>
  <si>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</si>
  <si>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</si>
  <si>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</si>
  <si>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</si>
  <si>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</si>
  <si>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</si>
  <si>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</si>
  <si>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</si>
  <si>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</si>
  <si>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</si>
  <si>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</si>
  <si>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</si>
  <si>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</si>
  <si>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</si>
  <si>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</si>
  <si>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</si>
  <si>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</si>
  <si>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</si>
  <si>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</si>
  <si>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</si>
  <si>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</si>
  <si>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</si>
  <si>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</si>
  <si>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</si>
  <si>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</si>
  <si>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</si>
  <si>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</si>
  <si>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</si>
  <si>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</si>
  <si>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</si>
  <si>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</si>
  <si>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</si>
  <si>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</si>
  <si>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</si>
  <si>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</si>
  <si>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</si>
  <si>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</si>
  <si>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</si>
  <si>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</si>
  <si>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</si>
  <si>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</si>
  <si>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</si>
  <si>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</si>
  <si>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</si>
  <si>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</si>
  <si>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</si>
  <si>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</si>
  <si>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</si>
  <si>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</si>
  <si>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</si>
  <si>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</si>
  <si>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</si>
  <si>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</si>
  <si>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</si>
  <si>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</si>
  <si>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</si>
  <si>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</si>
  <si>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</si>
  <si>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</si>
  <si>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</si>
  <si>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</si>
  <si>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</si>
  <si>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</si>
  <si>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</si>
  <si>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</si>
  <si>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</si>
  <si>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</si>
  <si>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</si>
  <si>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</si>
  <si>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</si>
  <si>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</si>
  <si>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</si>
  <si>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</si>
  <si>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</si>
  <si>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</si>
  <si>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</si>
  <si>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</si>
  <si>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</si>
  <si>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</si>
  <si>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</si>
  <si>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</si>
  <si>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</si>
  <si>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</si>
  <si>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</si>
  <si>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</si>
  <si>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</si>
  <si>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</si>
  <si>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</si>
  <si>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</si>
  <si>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</si>
  <si>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</si>
  <si>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</si>
  <si>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</si>
  <si>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</si>
  <si>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</si>
  <si>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</si>
  <si>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</si>
  <si>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</si>
  <si>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</si>
  <si>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</si>
  <si>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</si>
  <si>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</si>
  <si>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</si>
  <si>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</si>
  <si>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</si>
  <si>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</si>
  <si>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</si>
  <si>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</si>
  <si>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</si>
  <si>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</si>
  <si>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</si>
  <si>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</si>
  <si>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</si>
  <si>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</si>
  <si>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</si>
  <si>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</si>
  <si>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</si>
  <si>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</si>
  <si>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</si>
  <si>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</si>
  <si>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</si>
  <si>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</si>
  <si>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</si>
  <si>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</si>
  <si>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</si>
  <si>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</si>
  <si>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</si>
  <si>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</si>
  <si>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</si>
  <si>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</si>
  <si>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</si>
  <si>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</si>
  <si>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</si>
  <si>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</si>
  <si>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</si>
  <si>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</si>
  <si>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</si>
  <si>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</si>
  <si>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</si>
  <si>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</si>
  <si>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</si>
  <si>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</si>
  <si>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</si>
  <si>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</si>
  <si>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</si>
  <si>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</si>
  <si>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</si>
  <si>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</si>
  <si>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</si>
  <si>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</si>
  <si>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</si>
  <si>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</si>
  <si>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</si>
  <si>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</si>
  <si>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</si>
  <si>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</si>
  <si>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</si>
  <si>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</si>
  <si>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</si>
  <si>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</si>
  <si>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</si>
  <si>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</si>
  <si>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</si>
  <si>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</si>
  <si>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</si>
  <si>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</si>
  <si>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</si>
  <si>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</si>
  <si>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</si>
  <si>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</si>
  <si>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</si>
  <si>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</si>
  <si>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</si>
  <si>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</si>
  <si>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</si>
  <si>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</si>
  <si>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</si>
  <si>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</si>
  <si>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</si>
  <si>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</si>
  <si>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</si>
  <si>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</si>
  <si>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</si>
  <si>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</si>
  <si>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</si>
  <si>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</si>
  <si>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</si>
  <si>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</si>
  <si>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</si>
  <si>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</si>
  <si>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</si>
  <si>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</si>
  <si>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</si>
  <si>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</si>
  <si>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</si>
  <si>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</si>
  <si>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</si>
  <si>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</si>
  <si>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</si>
  <si>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</si>
  <si>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</si>
  <si>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</si>
  <si>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</si>
  <si>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</si>
  <si>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</si>
  <si>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</si>
  <si>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</si>
  <si>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</si>
  <si>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</si>
  <si>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</si>
  <si>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</si>
  <si>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</si>
  <si>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</si>
  <si>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</si>
  <si>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</si>
  <si>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</si>
  <si>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</si>
  <si>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</si>
  <si>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</si>
  <si>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</si>
  <si>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</si>
  <si>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</si>
  <si>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</si>
  <si>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</si>
  <si>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</si>
  <si>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</si>
  <si>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</si>
  <si>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</si>
  <si>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</si>
  <si>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</si>
  <si>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</si>
  <si>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</si>
  <si>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</si>
  <si>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</si>
  <si>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</si>
  <si>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</si>
  <si>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</si>
  <si>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</si>
  <si>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</si>
  <si>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</si>
  <si>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</si>
  <si>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</si>
  <si>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</si>
  <si>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Separatkloakeringer</t>
  </si>
  <si>
    <t>Ny-kloakeringer, byggemodninger og enkelt tilslutninger</t>
  </si>
  <si>
    <t>Ingen engangstillæg</t>
  </si>
  <si>
    <t>Ingen anlægsprojekter</t>
  </si>
  <si>
    <t>Periodevise driftsomkostninger i alt i 2018-prisniveau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</si>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</sst>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3" t="s">
        <v>226</v>
      </c>
      <c r="E8" s="73"/>
      <c r="F8" s="73"/>
      <c r="G8" s="7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43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17</v>
      </c>
      <c r="D14" s="65" t="s">
        <v>254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41</v>
      </c>
      <c r="D15" s="65" t="s">
        <v>107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42</v>
      </c>
      <c r="D16" s="65" t="s">
        <v>214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180</v>
      </c>
      <c r="D17" s="65" t="s">
        <v>215</v>
      </c>
      <c r="E17" s="66"/>
      <c r="F17" s="66"/>
      <c r="G17" s="67"/>
      <c r="H17" s="1"/>
      <c r="I17" s="1"/>
    </row>
    <row r="18" spans="1:9" x14ac:dyDescent="0.25">
      <c r="A18" s="1"/>
      <c r="B18" s="1"/>
      <c r="C18" s="6" t="s">
        <v>157</v>
      </c>
      <c r="D18" s="62" t="s">
        <v>135</v>
      </c>
      <c r="E18" s="63"/>
      <c r="F18" s="63"/>
      <c r="G18" s="64"/>
      <c r="H18" s="1"/>
      <c r="I18" s="1"/>
    </row>
    <row r="19" spans="1:9" x14ac:dyDescent="0.25">
      <c r="A19" s="1"/>
      <c r="B19" s="1"/>
      <c r="C19" s="6" t="s">
        <v>158</v>
      </c>
      <c r="D19" s="62" t="s">
        <v>136</v>
      </c>
      <c r="E19" s="63"/>
      <c r="F19" s="63"/>
      <c r="G19" s="64"/>
      <c r="H19" s="1"/>
      <c r="I19" s="1"/>
    </row>
    <row r="20" spans="1:9" x14ac:dyDescent="0.25">
      <c r="A20" s="1"/>
      <c r="B20" s="1"/>
      <c r="C20" s="6" t="s">
        <v>7</v>
      </c>
      <c r="D20" s="62" t="s">
        <v>10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159</v>
      </c>
      <c r="D21" s="69" t="s">
        <v>13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111</v>
      </c>
      <c r="D22" s="56" t="s">
        <v>255</v>
      </c>
      <c r="E22" s="57"/>
      <c r="F22" s="57"/>
      <c r="G22" s="58"/>
      <c r="H22" s="1"/>
      <c r="I22" s="1"/>
    </row>
    <row r="23" spans="1:9" x14ac:dyDescent="0.25">
      <c r="A23" s="1"/>
      <c r="B23" s="1"/>
      <c r="C23" s="6" t="s">
        <v>8</v>
      </c>
      <c r="D23" s="56" t="s">
        <v>184</v>
      </c>
      <c r="E23" s="57"/>
      <c r="F23" s="57"/>
      <c r="G23" s="58"/>
      <c r="H23" s="1"/>
      <c r="I23" s="1"/>
    </row>
    <row r="24" spans="1:9" x14ac:dyDescent="0.25">
      <c r="A24" s="1"/>
      <c r="B24" s="1"/>
      <c r="C24" s="6" t="s">
        <v>9</v>
      </c>
      <c r="D24" s="56" t="s">
        <v>44</v>
      </c>
      <c r="E24" s="57"/>
      <c r="F24" s="57"/>
      <c r="G24" s="58"/>
      <c r="H24" s="1"/>
      <c r="I24" s="1"/>
    </row>
    <row r="25" spans="1:9" x14ac:dyDescent="0.25">
      <c r="A25" s="1"/>
      <c r="B25" s="1"/>
      <c r="C25" s="6" t="s">
        <v>160</v>
      </c>
      <c r="D25" s="56" t="s">
        <v>112</v>
      </c>
      <c r="E25" s="57"/>
      <c r="F25" s="57"/>
      <c r="G25" s="58"/>
      <c r="H25" s="1"/>
      <c r="I25" s="1"/>
    </row>
    <row r="26" spans="1:9" x14ac:dyDescent="0.25">
      <c r="A26" s="1"/>
      <c r="B26" s="1"/>
      <c r="C26" s="6" t="s">
        <v>161</v>
      </c>
      <c r="D26" s="56" t="s">
        <v>113</v>
      </c>
      <c r="E26" s="57"/>
      <c r="F26" s="57"/>
      <c r="G26" s="58"/>
      <c r="H26" s="1"/>
      <c r="I26" s="1"/>
    </row>
    <row r="27" spans="1:9" x14ac:dyDescent="0.25">
      <c r="A27" s="1"/>
      <c r="B27" s="1"/>
      <c r="C27" s="6" t="s">
        <v>162</v>
      </c>
      <c r="D27" s="56" t="s">
        <v>114</v>
      </c>
      <c r="E27" s="57"/>
      <c r="F27" s="57"/>
      <c r="G27" s="58"/>
      <c r="H27" s="1"/>
      <c r="I27" s="1"/>
    </row>
    <row r="28" spans="1:9" x14ac:dyDescent="0.25">
      <c r="A28" s="1"/>
      <c r="B28" s="1"/>
      <c r="C28" s="6" t="s">
        <v>16</v>
      </c>
      <c r="D28" s="56" t="s">
        <v>216</v>
      </c>
      <c r="E28" s="57"/>
      <c r="F28" s="57"/>
      <c r="G28" s="58"/>
      <c r="H28" s="1"/>
      <c r="I28" s="1"/>
    </row>
    <row r="29" spans="1:9" x14ac:dyDescent="0.25">
      <c r="A29" s="1"/>
      <c r="B29" s="1"/>
      <c r="C29" s="6" t="s">
        <v>46</v>
      </c>
      <c r="D29" s="56" t="s">
        <v>45</v>
      </c>
      <c r="E29" s="57"/>
      <c r="F29" s="57"/>
      <c r="G29" s="58"/>
      <c r="H29" s="1"/>
      <c r="I29" s="1"/>
    </row>
    <row r="30" spans="1:9" x14ac:dyDescent="0.25">
      <c r="A30" s="1"/>
      <c r="B30" s="1"/>
      <c r="C30" s="6" t="s">
        <v>47</v>
      </c>
      <c r="D30" s="59" t="s">
        <v>155</v>
      </c>
      <c r="E30" s="60"/>
      <c r="F30" s="60"/>
      <c r="G30" s="6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7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165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196</v>
      </c>
      <c r="C8" s="89"/>
      <c r="D8" s="90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3" t="s">
        <v>265</v>
      </c>
      <c r="C10" s="9">
        <v>2033275.16</v>
      </c>
      <c r="D10" s="14" t="s">
        <v>3</v>
      </c>
      <c r="E10" s="1"/>
      <c r="F10" s="1"/>
    </row>
    <row r="11" spans="1:6" x14ac:dyDescent="0.25">
      <c r="A11" s="1"/>
      <c r="B11" s="53" t="s">
        <v>266</v>
      </c>
      <c r="C11" s="9">
        <v>100497</v>
      </c>
      <c r="D11" s="14" t="s">
        <v>3</v>
      </c>
      <c r="E11" s="1"/>
      <c r="F11" s="1"/>
    </row>
    <row r="12" spans="1:6" x14ac:dyDescent="0.25">
      <c r="A12" s="1"/>
      <c r="B12" s="53" t="s">
        <v>267</v>
      </c>
      <c r="C12" s="9">
        <v>461470.86</v>
      </c>
      <c r="D12" s="14" t="s">
        <v>3</v>
      </c>
      <c r="E12" s="1"/>
      <c r="F12" s="1"/>
    </row>
    <row r="13" spans="1:6" x14ac:dyDescent="0.25">
      <c r="A13" s="1"/>
      <c r="B13" s="53" t="s">
        <v>268</v>
      </c>
      <c r="C13" s="9">
        <v>340232.42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2935475.44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3007537.9569004895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8" t="s">
        <v>178</v>
      </c>
      <c r="C18" s="89"/>
      <c r="D18" s="90"/>
      <c r="E18" s="1"/>
      <c r="F18" s="1"/>
    </row>
    <row r="19" spans="1:6" x14ac:dyDescent="0.25">
      <c r="A19" s="1"/>
      <c r="B19" s="53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8"/>
      <c r="C23" s="89"/>
      <c r="D23" s="90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8" t="s">
        <v>146</v>
      </c>
      <c r="C26" s="89"/>
      <c r="D26" s="90"/>
      <c r="E26" s="1"/>
      <c r="F26" s="1"/>
    </row>
    <row r="27" spans="1:6" x14ac:dyDescent="0.25">
      <c r="A27" s="1"/>
      <c r="B27" s="53" t="s">
        <v>147</v>
      </c>
      <c r="C27" s="9">
        <v>1538307</v>
      </c>
      <c r="D27" s="14" t="s">
        <v>3</v>
      </c>
      <c r="E27" s="1"/>
      <c r="F27" s="1"/>
    </row>
    <row r="28" spans="1:6" x14ac:dyDescent="0.25">
      <c r="A28" s="1"/>
      <c r="B28" s="53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8"/>
      <c r="C31" s="89"/>
      <c r="D31" s="90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sheetProtection algorithmName="SHA-512" hashValue="Wz4RVcsH4PR+IIOY2ypbTFhR489Yrx9TzDmYgfDpFBS2snqXP0VMIc9kioHjFKcZU5SkFEtl+bT19o6NMbicKQ==" saltValue="jekXANg8Mc9gmLm1nPRPX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256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88" t="s">
        <v>137</v>
      </c>
      <c r="C6" s="89"/>
      <c r="D6" s="89"/>
      <c r="E6" s="89"/>
      <c r="F6" s="90"/>
      <c r="G6" s="1"/>
    </row>
    <row r="7" spans="1:7" x14ac:dyDescent="0.25">
      <c r="A7" s="1"/>
      <c r="B7" s="91" t="s">
        <v>138</v>
      </c>
      <c r="C7" s="92"/>
      <c r="D7" s="93"/>
      <c r="E7" s="9">
        <v>177606718.94863558</v>
      </c>
      <c r="F7" s="14" t="s">
        <v>3</v>
      </c>
      <c r="G7" s="1"/>
    </row>
    <row r="8" spans="1:7" x14ac:dyDescent="0.25">
      <c r="A8" s="1"/>
      <c r="B8" s="91" t="s">
        <v>139</v>
      </c>
      <c r="C8" s="92"/>
      <c r="D8" s="93"/>
      <c r="E8" s="9">
        <v>124564543</v>
      </c>
      <c r="F8" s="14" t="s">
        <v>3</v>
      </c>
      <c r="G8" s="1"/>
    </row>
    <row r="9" spans="1:7" x14ac:dyDescent="0.25">
      <c r="A9" s="1"/>
      <c r="B9" s="91" t="s">
        <v>40</v>
      </c>
      <c r="C9" s="92"/>
      <c r="D9" s="93"/>
      <c r="E9" s="9">
        <v>0</v>
      </c>
      <c r="F9" s="14" t="s">
        <v>3</v>
      </c>
      <c r="G9" s="1"/>
    </row>
    <row r="10" spans="1:7" x14ac:dyDescent="0.25">
      <c r="A10" s="1"/>
      <c r="B10" s="81" t="s">
        <v>140</v>
      </c>
      <c r="C10" s="82"/>
      <c r="D10" s="100"/>
      <c r="E10" s="10">
        <f>E7-(E8-E9)</f>
        <v>53042175.948635578</v>
      </c>
      <c r="F10" s="17" t="s">
        <v>3</v>
      </c>
      <c r="G10" s="1"/>
    </row>
    <row r="11" spans="1:7" x14ac:dyDescent="0.25">
      <c r="A11" s="1"/>
      <c r="B11" s="38"/>
      <c r="C11" s="32"/>
      <c r="D11" s="32"/>
      <c r="E11" s="32"/>
      <c r="F11" s="20"/>
      <c r="G11" s="1"/>
    </row>
    <row r="12" spans="1:7" ht="27" customHeight="1" x14ac:dyDescent="0.25">
      <c r="A12" s="1"/>
      <c r="B12" s="76" t="s">
        <v>156</v>
      </c>
      <c r="C12" s="77"/>
      <c r="D12" s="77"/>
      <c r="E12" s="77"/>
      <c r="F12" s="78"/>
      <c r="G12" s="1"/>
    </row>
    <row r="13" spans="1:7" ht="28.5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52</v>
      </c>
      <c r="C14" s="89"/>
      <c r="D14" s="89"/>
      <c r="E14" s="89"/>
      <c r="F14" s="90"/>
      <c r="G14" s="1"/>
    </row>
    <row r="15" spans="1:7" x14ac:dyDescent="0.25">
      <c r="A15" s="1"/>
      <c r="B15" s="91" t="s">
        <v>53</v>
      </c>
      <c r="C15" s="92"/>
      <c r="D15" s="93"/>
      <c r="E15" s="9">
        <v>181954593.07683679</v>
      </c>
      <c r="F15" s="14" t="s">
        <v>3</v>
      </c>
      <c r="G15" s="1"/>
    </row>
    <row r="16" spans="1:7" x14ac:dyDescent="0.25">
      <c r="A16" s="1"/>
      <c r="B16" s="91" t="s">
        <v>54</v>
      </c>
      <c r="C16" s="92"/>
      <c r="D16" s="93"/>
      <c r="E16" s="9">
        <v>132014133</v>
      </c>
      <c r="F16" s="14" t="s">
        <v>3</v>
      </c>
      <c r="G16" s="1"/>
    </row>
    <row r="17" spans="1:7" x14ac:dyDescent="0.25">
      <c r="A17" s="1"/>
      <c r="B17" s="91" t="s">
        <v>40</v>
      </c>
      <c r="C17" s="92"/>
      <c r="D17" s="93"/>
      <c r="E17" s="9">
        <v>0</v>
      </c>
      <c r="F17" s="14" t="s">
        <v>3</v>
      </c>
      <c r="G17" s="1"/>
    </row>
    <row r="18" spans="1:7" x14ac:dyDescent="0.25">
      <c r="A18" s="1"/>
      <c r="B18" s="81" t="s">
        <v>55</v>
      </c>
      <c r="C18" s="82"/>
      <c r="D18" s="100"/>
      <c r="E18" s="10">
        <f>E15-(E16-E17)</f>
        <v>49940460.076836795</v>
      </c>
      <c r="F18" s="17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8.5" customHeight="1" x14ac:dyDescent="0.25">
      <c r="A20" s="1"/>
      <c r="B20" s="76" t="s">
        <v>218</v>
      </c>
      <c r="C20" s="77"/>
      <c r="D20" s="77"/>
      <c r="E20" s="77"/>
      <c r="F20" s="78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245</v>
      </c>
      <c r="C22" s="89"/>
      <c r="D22" s="89"/>
      <c r="E22" s="89"/>
      <c r="F22" s="90"/>
      <c r="G22" s="1"/>
    </row>
    <row r="23" spans="1:7" x14ac:dyDescent="0.25">
      <c r="A23" s="1"/>
      <c r="B23" s="91" t="s">
        <v>246</v>
      </c>
      <c r="C23" s="92"/>
      <c r="D23" s="93"/>
      <c r="E23" s="9">
        <v>151194448.87583169</v>
      </c>
      <c r="F23" s="14" t="s">
        <v>3</v>
      </c>
      <c r="G23" s="1"/>
    </row>
    <row r="24" spans="1:7" x14ac:dyDescent="0.25">
      <c r="A24" s="1"/>
      <c r="B24" s="91" t="s">
        <v>247</v>
      </c>
      <c r="C24" s="92"/>
      <c r="D24" s="93"/>
      <c r="E24" s="9">
        <v>128083345</v>
      </c>
      <c r="F24" s="14" t="s">
        <v>3</v>
      </c>
      <c r="G24" s="1"/>
    </row>
    <row r="25" spans="1:7" x14ac:dyDescent="0.25">
      <c r="A25" s="1"/>
      <c r="B25" s="91" t="s">
        <v>40</v>
      </c>
      <c r="C25" s="92"/>
      <c r="D25" s="93"/>
      <c r="E25" s="9">
        <v>0</v>
      </c>
      <c r="F25" s="14" t="s">
        <v>3</v>
      </c>
      <c r="G25" s="1"/>
    </row>
    <row r="26" spans="1:7" x14ac:dyDescent="0.25">
      <c r="A26" s="1"/>
      <c r="B26" s="81" t="s">
        <v>248</v>
      </c>
      <c r="C26" s="82"/>
      <c r="D26" s="100"/>
      <c r="E26" s="10">
        <f>E23-(E24-E25)</f>
        <v>23111103.875831693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250</v>
      </c>
      <c r="C29" s="89"/>
      <c r="D29" s="89"/>
      <c r="E29" s="89"/>
      <c r="F29" s="90"/>
      <c r="G29" s="1"/>
    </row>
    <row r="30" spans="1:7" x14ac:dyDescent="0.25">
      <c r="A30" s="1"/>
      <c r="B30" s="81" t="s">
        <v>251</v>
      </c>
      <c r="C30" s="82"/>
      <c r="D30" s="100"/>
      <c r="E30" s="10">
        <f>IF(AND(E10&lt;0,E18&gt;=0,E26&gt;=0),E10/2,IF(AND(E10&lt;0,E18&lt;0,E26&lt;0),SUM(E10,E18)/2,IF(AND(E10&lt;0,E18&gt;=0,E26&lt;0,ABS(E18)&gt;ABS(E26)),E10/2,IF(AND(E10&lt;0,E18&gt;=0,E26&lt;0,ABS(E18)&lt;ABS(E26)),E10/2,IF(AND(E10&lt;0,E18&lt;0,E26&gt;=0,ABS(E18)&gt;ABS(E26)),E10/2+(E18/2+E26),IF(AND(E10&lt;0,E18&lt;0,E26&gt;=0,ABS(E18)&lt;ABS(E26)),E10/2+E18/2+(E26-(E26+E18)),IF(AND(E10&gt;=0,E18&gt;=0,E26&gt;=0),0,IF(AND(E10&gt;=0,E18&lt;0,E26&lt;0,ABS(E18)&gt;ABS(E10)),(E18+E10)/2,IF(AND(E10&gt;=0,E18&lt;0,E26&lt;0,ABS(E18)&lt;ABS(E10)),0,IF(AND(E10&gt;0,E18&gt;=0,E26&lt;0,ABS(E18)&gt;ABS(E26)),0,IF(AND(E10&gt;0,E18&gt;=0,E26&lt;0,ABS(E18)&lt;ABS(E26)),0,IF(AND(E10&gt;0,E18&lt;0,E26&gt;=0,ABS(E10)&gt;ABS(E18)),0,IF(AND(E10&gt;0,E18&lt;0,E26&gt;=0,ABS(E10)&lt;ABS(E18),ABS(E26)&gt;ABS(E18+E10)),(E18+E10)/2+(E26-E26-(E18+E10)),IF(AND(E10&gt;0,E18&lt;0,E26&gt;=0,ABS(E10)&lt;ABS(E18),ABS(E26)&lt;ABS(E18+E10)),(E18+E10)/2+E26,0))))))))))))))</f>
        <v>0</v>
      </c>
      <c r="F30" s="17" t="s">
        <v>3</v>
      </c>
      <c r="G30" s="1"/>
    </row>
    <row r="31" spans="1:7" x14ac:dyDescent="0.25">
      <c r="A31" s="1"/>
      <c r="B31" s="88"/>
      <c r="C31" s="89"/>
      <c r="D31" s="89"/>
      <c r="E31" s="89"/>
      <c r="F31" s="90"/>
      <c r="G31" s="1"/>
    </row>
    <row r="32" spans="1:7" ht="28.5" customHeight="1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88" t="s">
        <v>249</v>
      </c>
      <c r="C33" s="89"/>
      <c r="D33" s="89"/>
      <c r="E33" s="89"/>
      <c r="F33" s="90"/>
      <c r="G33" s="1"/>
    </row>
    <row r="34" spans="1:7" x14ac:dyDescent="0.25">
      <c r="A34" s="1"/>
      <c r="B34" s="101" t="s">
        <v>276</v>
      </c>
      <c r="C34" s="102"/>
      <c r="D34" s="103"/>
      <c r="E34" s="9">
        <v>0</v>
      </c>
      <c r="F34" s="14"/>
      <c r="G34" s="1"/>
    </row>
    <row r="35" spans="1:7" x14ac:dyDescent="0.25">
      <c r="A35" s="1"/>
      <c r="B35" s="101" t="s">
        <v>277</v>
      </c>
      <c r="C35" s="102"/>
      <c r="D35" s="103"/>
      <c r="E35" s="9">
        <v>0</v>
      </c>
      <c r="F35" s="14"/>
      <c r="G35" s="1"/>
    </row>
    <row r="36" spans="1:7" x14ac:dyDescent="0.25">
      <c r="A36" s="1"/>
      <c r="B36" s="101" t="s">
        <v>252</v>
      </c>
      <c r="C36" s="102"/>
      <c r="D36" s="103"/>
      <c r="E36" s="9">
        <f>IF(AND(E10&lt;0,E18&gt;=0,E26&gt;=0,),0,IF(AND(E10&lt;0,E18&lt;0,E26&gt;=0),0,IF(AND(E10&lt;0,E18&lt;0,E26&lt;0),E26,IF(AND(E10&lt;0,E18&gt;=0,E26&lt;0,ABS(E18)&gt;ABS(E26),E34=0,E35=1),0,IF(AND(E10&lt;0,E18&gt;=0,E26&lt;0,ABS(E18)&lt;ABS(E26),E34=0,E35=1),(E26+E18),IF(AND(E10&lt;0,E18&gt;=0,E26&lt;0,ABS(E18)&gt;ABS(E26)),0,IF(AND(E10&lt;0,E18&gt;=0,E26&lt;0,ABS(E18)&lt;ABS(E26)),(E18+E26),IF(AND(E10&gt;=0,E18&gt;=0,E26&gt;=0),0,IF(AND(E10&gt;=0,E18&lt;0,E26&lt;0,SUM(E10+E18)&gt;=0,ABS(E18+E26)&gt;E10,E34=1,E35=0),(E10+E18+E26),IF(AND(E10&gt;=0,E18&lt;0,E26&lt;0,SUM(E10+E18)&gt;=0,ABS(E18+E26)&lt;E10,E34=1,E35=0),0,IF(AND(E10&gt;=0,E18&lt;0,E26&lt;0,SUM(E10+E18)&lt;0,E34=1,E35=0),(E26),IF(AND(E10&gt;=0,E18&lt;0,E26&lt;0),E26,IF(AND(E10&gt;0,E18&gt;=0,E26&lt;0,ABS(E18+E10)&gt;ABS(E26),E34=1,E35=1),0,IF(AND(E10&gt;0,E18&gt;=0,E26&lt;0,ABS(E18+E10)&lt;ABS(E26),E34=1,E35=1),(E26+(E10+E18)),IF(AND(E10&gt;0,E18&gt;=0,E26&lt;0,ABS(E18)&gt;ABS(E26)),0,IF(AND(E10&gt;0,E18&gt;=0,E26&lt;0,ABS(E18)&lt;ABS(E26)),(E18+E26),IF(AND(E10&gt;=0,E18&lt;0,E26&gt;=0),0,0)))))))))))))))))</f>
        <v>0</v>
      </c>
      <c r="F36" s="14" t="s">
        <v>3</v>
      </c>
      <c r="G36" s="1"/>
    </row>
    <row r="37" spans="1:7" x14ac:dyDescent="0.25">
      <c r="A37" s="1"/>
      <c r="B37" s="101" t="s">
        <v>152</v>
      </c>
      <c r="C37" s="102"/>
      <c r="D37" s="103"/>
      <c r="E37" s="9">
        <v>2</v>
      </c>
      <c r="F37" s="14" t="s">
        <v>21</v>
      </c>
      <c r="G37" s="1"/>
    </row>
    <row r="38" spans="1:7" x14ac:dyDescent="0.25">
      <c r="A38" s="1"/>
      <c r="B38" s="107" t="s">
        <v>253</v>
      </c>
      <c r="C38" s="107"/>
      <c r="D38" s="107"/>
      <c r="E38" s="10">
        <f>E36/E37</f>
        <v>0</v>
      </c>
      <c r="F38" s="17" t="s">
        <v>3</v>
      </c>
      <c r="G38" s="1"/>
    </row>
    <row r="39" spans="1:7" x14ac:dyDescent="0.25">
      <c r="A39" s="1"/>
      <c r="B39" s="104"/>
      <c r="C39" s="105"/>
      <c r="D39" s="105"/>
      <c r="E39" s="105"/>
      <c r="F39" s="106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5" spans="1:7" x14ac:dyDescent="0.25">
      <c r="A45" s="42"/>
      <c r="B45" s="42"/>
      <c r="C45" s="42"/>
      <c r="D45" s="42"/>
      <c r="E45" s="42"/>
      <c r="F45" s="42"/>
      <c r="G45" s="42"/>
    </row>
    <row r="46" spans="1:7" x14ac:dyDescent="0.25">
      <c r="A46" s="42"/>
      <c r="B46" s="42"/>
      <c r="C46" s="42"/>
      <c r="D46" s="42"/>
      <c r="E46" s="42"/>
      <c r="F46" s="42"/>
      <c r="G46" s="42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</sheetData>
  <sheetProtection algorithmName="SHA-512" hashValue="ou9nD1DkF2oVndUn8hrb3qHCml1wSRcuolFiTSDdgHnDfd1oGZkfCU7k9et1xqtDkr7X/3/YJv2hArtYwRlhmg==" saltValue="lVdKPrx6xoruMt2fPBygwQ==" spinCount="100000" sheet="1" objects="1" scenarios="1"/>
  <mergeCells count="28">
    <mergeCell ref="B18:D18"/>
    <mergeCell ref="B3:F4"/>
    <mergeCell ref="B14:F14"/>
    <mergeCell ref="B15:D15"/>
    <mergeCell ref="B16:D16"/>
    <mergeCell ref="B17:D17"/>
    <mergeCell ref="B6:F6"/>
    <mergeCell ref="B7:D7"/>
    <mergeCell ref="B8:D8"/>
    <mergeCell ref="B9:D9"/>
    <mergeCell ref="B10:D10"/>
    <mergeCell ref="B12:F12"/>
    <mergeCell ref="B33:F33"/>
    <mergeCell ref="B36:D36"/>
    <mergeCell ref="B39:F39"/>
    <mergeCell ref="B37:D37"/>
    <mergeCell ref="B38:D38"/>
    <mergeCell ref="B34:D34"/>
    <mergeCell ref="B35:D35"/>
    <mergeCell ref="B31:F31"/>
    <mergeCell ref="B29:F29"/>
    <mergeCell ref="B30:D30"/>
    <mergeCell ref="B20:F20"/>
    <mergeCell ref="B22:F22"/>
    <mergeCell ref="B23:D23"/>
    <mergeCell ref="B24:D24"/>
    <mergeCell ref="B25:D25"/>
    <mergeCell ref="B26:D2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201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8" t="s">
        <v>202</v>
      </c>
      <c r="C9" s="89"/>
      <c r="D9" s="89"/>
      <c r="E9" s="89"/>
      <c r="F9" s="90"/>
      <c r="G9" s="1"/>
    </row>
    <row r="10" spans="1:7" x14ac:dyDescent="0.25">
      <c r="A10" s="1"/>
      <c r="B10" s="76" t="s">
        <v>150</v>
      </c>
      <c r="C10" s="77"/>
      <c r="D10" s="78"/>
      <c r="E10" s="7">
        <v>292853</v>
      </c>
      <c r="F10" s="8" t="s">
        <v>3</v>
      </c>
      <c r="G10" s="1"/>
    </row>
    <row r="11" spans="1:7" x14ac:dyDescent="0.25">
      <c r="A11" s="1"/>
      <c r="B11" s="91" t="s">
        <v>203</v>
      </c>
      <c r="C11" s="92"/>
      <c r="D11" s="93"/>
      <c r="E11" s="7">
        <v>513915</v>
      </c>
      <c r="F11" s="8" t="s">
        <v>3</v>
      </c>
      <c r="G11" s="1"/>
    </row>
    <row r="12" spans="1:7" x14ac:dyDescent="0.25">
      <c r="A12" s="1"/>
      <c r="B12" s="81" t="s">
        <v>151</v>
      </c>
      <c r="C12" s="82"/>
      <c r="D12" s="100"/>
      <c r="E12" s="10">
        <f>E11-E10</f>
        <v>221062</v>
      </c>
      <c r="F12" s="11" t="s">
        <v>3</v>
      </c>
      <c r="G12" s="1"/>
    </row>
    <row r="13" spans="1:7" x14ac:dyDescent="0.25">
      <c r="A13" s="1"/>
      <c r="B13" s="88" t="s">
        <v>134</v>
      </c>
      <c r="C13" s="89"/>
      <c r="D13" s="89"/>
      <c r="E13" s="89"/>
      <c r="F13" s="90"/>
      <c r="G13" s="1"/>
    </row>
    <row r="14" spans="1:7" x14ac:dyDescent="0.25">
      <c r="A14" s="1"/>
      <c r="B14" s="91" t="s">
        <v>204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76" t="s">
        <v>205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81" t="s">
        <v>151</v>
      </c>
      <c r="C16" s="82"/>
      <c r="D16" s="100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221062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236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237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5" t="s">
        <v>274</v>
      </c>
      <c r="C10" s="111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8" t="s">
        <v>238</v>
      </c>
      <c r="C11" s="89"/>
      <c r="D11" s="9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2" t="s">
        <v>271</v>
      </c>
      <c r="C11" s="22">
        <v>0</v>
      </c>
      <c r="D11" s="14" t="s">
        <v>3</v>
      </c>
      <c r="E11" s="9">
        <v>2078018</v>
      </c>
      <c r="F11" s="14" t="s">
        <v>3</v>
      </c>
      <c r="G11" s="1"/>
    </row>
    <row r="12" spans="1:7" ht="26.25" x14ac:dyDescent="0.25">
      <c r="A12" s="1"/>
      <c r="B12" s="113" t="s">
        <v>272</v>
      </c>
      <c r="C12" s="22">
        <v>20919</v>
      </c>
      <c r="D12" s="14" t="s">
        <v>3</v>
      </c>
      <c r="E12" s="9">
        <v>859235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20919</v>
      </c>
      <c r="D13" s="13" t="s">
        <v>3</v>
      </c>
      <c r="E13" s="12">
        <f>SUM(E10:E12)</f>
        <v>2937253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21174.211800000001</v>
      </c>
      <c r="D14" s="13" t="s">
        <v>3</v>
      </c>
      <c r="E14" s="12">
        <f>E13*(1+'Fane 14. Nøgletal'!C13)</f>
        <v>2973087.4865999999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dVrjUYqtU3nLfRd+GyLQhGEOsyQRDE0K0K4qfUK4Awe96WW2/0Oq8bdjK00NmlGRmofTY3ilQArNEkrwaGI1Q==" saltValue="dMip3To0KKpemdpD+MnT1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167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141</v>
      </c>
      <c r="C8" s="89"/>
      <c r="D8" s="89"/>
      <c r="E8" s="89"/>
      <c r="F8" s="90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8" t="s">
        <v>142</v>
      </c>
      <c r="C16" s="89"/>
      <c r="D16" s="89"/>
      <c r="E16" s="89"/>
      <c r="F16" s="90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8" t="s">
        <v>143</v>
      </c>
      <c r="C24" s="89"/>
      <c r="D24" s="89"/>
      <c r="E24" s="89"/>
      <c r="F24" s="90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223</v>
      </c>
      <c r="C32" s="89"/>
      <c r="D32" s="89"/>
      <c r="E32" s="89"/>
      <c r="F32" s="90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WJHVzSD4LBuD5HHtdYFvYtafLm5UycalOMfGffjP1g8DIN4+83TbA4Ir9Wbw3R/kdnS8x3WFjh5yPxvKb415A==" saltValue="N5PI5EeSiwgz5V7mnYhGO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169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5"/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125</v>
      </c>
      <c r="C8" s="89"/>
      <c r="D8" s="89"/>
      <c r="E8" s="89"/>
      <c r="F8" s="90"/>
      <c r="G8" s="1"/>
    </row>
    <row r="9" spans="1:7" x14ac:dyDescent="0.25">
      <c r="A9" s="1"/>
      <c r="B9" s="108" t="s">
        <v>275</v>
      </c>
      <c r="C9" s="109"/>
      <c r="D9" s="110"/>
      <c r="E9" s="9">
        <v>451978</v>
      </c>
      <c r="F9" s="14" t="s">
        <v>3</v>
      </c>
      <c r="G9" s="1"/>
    </row>
    <row r="10" spans="1:7" x14ac:dyDescent="0.25">
      <c r="A10" s="1"/>
      <c r="B10" s="79" t="s">
        <v>10</v>
      </c>
      <c r="C10" s="80"/>
      <c r="D10" s="86"/>
      <c r="E10" s="9">
        <f>-E9*'Fane 5. Individuelt eff. krav'!G11</f>
        <v>-9039.56</v>
      </c>
      <c r="F10" s="14" t="s">
        <v>3</v>
      </c>
      <c r="G10" s="1"/>
    </row>
    <row r="11" spans="1:7" x14ac:dyDescent="0.25">
      <c r="A11" s="1"/>
      <c r="B11" s="79" t="s">
        <v>29</v>
      </c>
      <c r="C11" s="80"/>
      <c r="D11" s="86"/>
      <c r="E11" s="9">
        <f>-E9*'Fane 14. Nøgletal'!C27</f>
        <v>-9039.56</v>
      </c>
      <c r="F11" s="14" t="s">
        <v>3</v>
      </c>
      <c r="G11" s="1"/>
    </row>
    <row r="12" spans="1:7" x14ac:dyDescent="0.25">
      <c r="A12" s="1"/>
      <c r="B12" s="88" t="s">
        <v>128</v>
      </c>
      <c r="C12" s="89"/>
      <c r="D12" s="90"/>
      <c r="E12" s="12">
        <f>SUM(E9:E11)*(1+'Fane 14. Nøgletal'!C12)^3</f>
        <v>460050.79657579953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126</v>
      </c>
      <c r="C14" s="89"/>
      <c r="D14" s="89"/>
      <c r="E14" s="89"/>
      <c r="F14" s="90"/>
      <c r="G14" s="1"/>
    </row>
    <row r="15" spans="1:7" x14ac:dyDescent="0.25">
      <c r="A15" s="1"/>
      <c r="B15" s="108" t="s">
        <v>207</v>
      </c>
      <c r="C15" s="109"/>
      <c r="D15" s="110"/>
      <c r="E15" s="9">
        <v>459616</v>
      </c>
      <c r="F15" s="14" t="s">
        <v>3</v>
      </c>
      <c r="G15" s="1"/>
    </row>
    <row r="16" spans="1:7" x14ac:dyDescent="0.25">
      <c r="A16" s="1"/>
      <c r="B16" s="79" t="s">
        <v>10</v>
      </c>
      <c r="C16" s="80"/>
      <c r="D16" s="86"/>
      <c r="E16" s="9">
        <f>-E15*'Fane 5. Individuelt eff. krav'!G11</f>
        <v>-9192.32</v>
      </c>
      <c r="F16" s="14" t="s">
        <v>3</v>
      </c>
      <c r="G16" s="1"/>
    </row>
    <row r="17" spans="1:7" x14ac:dyDescent="0.25">
      <c r="A17" s="1"/>
      <c r="B17" s="79" t="s">
        <v>29</v>
      </c>
      <c r="C17" s="80"/>
      <c r="D17" s="86"/>
      <c r="E17" s="9">
        <f>-E15*'Fane 14. Nøgletal'!C27</f>
        <v>-9192.32</v>
      </c>
      <c r="F17" s="14" t="s">
        <v>3</v>
      </c>
      <c r="G17" s="1"/>
    </row>
    <row r="18" spans="1:7" x14ac:dyDescent="0.25">
      <c r="A18" s="1"/>
      <c r="B18" s="88" t="s">
        <v>129</v>
      </c>
      <c r="C18" s="89"/>
      <c r="D18" s="90"/>
      <c r="E18" s="12">
        <f>SUM(E15:E17)*(1+'Fane 14. Nøgletal'!C13)^3</f>
        <v>457578.2476119498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127</v>
      </c>
      <c r="C20" s="89"/>
      <c r="D20" s="89"/>
      <c r="E20" s="89"/>
      <c r="F20" s="90"/>
      <c r="G20" s="1"/>
    </row>
    <row r="21" spans="1:7" x14ac:dyDescent="0.25">
      <c r="A21" s="1"/>
      <c r="B21" s="108" t="s">
        <v>207</v>
      </c>
      <c r="C21" s="109"/>
      <c r="D21" s="110"/>
      <c r="E21" s="9">
        <v>459616</v>
      </c>
      <c r="F21" s="14" t="s">
        <v>3</v>
      </c>
      <c r="G21" s="1"/>
    </row>
    <row r="22" spans="1:7" x14ac:dyDescent="0.25">
      <c r="A22" s="1"/>
      <c r="B22" s="79" t="s">
        <v>10</v>
      </c>
      <c r="C22" s="80"/>
      <c r="D22" s="86"/>
      <c r="E22" s="9">
        <f>-E21*'Fane 5. Individuelt eff. krav'!G11</f>
        <v>-9192.32</v>
      </c>
      <c r="F22" s="14" t="s">
        <v>3</v>
      </c>
      <c r="G22" s="1"/>
    </row>
    <row r="23" spans="1:7" x14ac:dyDescent="0.25">
      <c r="A23" s="1"/>
      <c r="B23" s="79" t="s">
        <v>29</v>
      </c>
      <c r="C23" s="80"/>
      <c r="D23" s="86"/>
      <c r="E23" s="9">
        <f>-E21*'Fane 14. Nøgletal'!C27</f>
        <v>-9192.32</v>
      </c>
      <c r="F23" s="14" t="s">
        <v>3</v>
      </c>
      <c r="G23" s="1"/>
    </row>
    <row r="24" spans="1:7" x14ac:dyDescent="0.25">
      <c r="A24" s="1"/>
      <c r="B24" s="88" t="s">
        <v>130</v>
      </c>
      <c r="C24" s="89"/>
      <c r="D24" s="90"/>
      <c r="E24" s="12">
        <f>SUM(E21:E23)*(1+'Fane 14. Nøgletal'!C13)^4</f>
        <v>463160.70223281556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208</v>
      </c>
      <c r="C26" s="89"/>
      <c r="D26" s="89"/>
      <c r="E26" s="89"/>
      <c r="F26" s="90"/>
      <c r="G26" s="1"/>
    </row>
    <row r="27" spans="1:7" x14ac:dyDescent="0.25">
      <c r="A27" s="1"/>
      <c r="B27" s="108" t="s">
        <v>207</v>
      </c>
      <c r="C27" s="109"/>
      <c r="D27" s="110"/>
      <c r="E27" s="9">
        <v>459616</v>
      </c>
      <c r="F27" s="14" t="s">
        <v>3</v>
      </c>
      <c r="G27" s="1"/>
    </row>
    <row r="28" spans="1:7" x14ac:dyDescent="0.25">
      <c r="A28" s="1"/>
      <c r="B28" s="79" t="s">
        <v>10</v>
      </c>
      <c r="C28" s="80"/>
      <c r="D28" s="86"/>
      <c r="E28" s="9">
        <f>-E27*'Fane 5. Individuelt eff. krav'!G11</f>
        <v>-9192.32</v>
      </c>
      <c r="F28" s="14" t="s">
        <v>3</v>
      </c>
      <c r="G28" s="1"/>
    </row>
    <row r="29" spans="1:7" x14ac:dyDescent="0.25">
      <c r="A29" s="1"/>
      <c r="B29" s="79" t="s">
        <v>29</v>
      </c>
      <c r="C29" s="80"/>
      <c r="D29" s="86"/>
      <c r="E29" s="9">
        <f>-E27*'Fane 14. Nøgletal'!C27</f>
        <v>-9192.32</v>
      </c>
      <c r="F29" s="14" t="s">
        <v>3</v>
      </c>
      <c r="G29" s="1"/>
    </row>
    <row r="30" spans="1:7" x14ac:dyDescent="0.25">
      <c r="A30" s="1"/>
      <c r="B30" s="88" t="s">
        <v>209</v>
      </c>
      <c r="C30" s="89"/>
      <c r="D30" s="90"/>
      <c r="E30" s="12">
        <f>SUM(E27:E29)*(1+'Fane 14. Nøgletal'!C13)^5</f>
        <v>468811.26280005596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7BjIhl/8yVJBK8EXC2upCFGm/ZhPNtrKDz9CwXfIWQ8QwRUla+JeOTRklvEU6+gnzj4KrvLxQuLMVciNeroHGg==" saltValue="KXQ17zYGsiLAfysU5dV39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210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211</v>
      </c>
      <c r="C8" s="89"/>
      <c r="D8" s="89"/>
      <c r="E8" s="89"/>
      <c r="F8" s="90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166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132</v>
      </c>
      <c r="C8" s="89"/>
      <c r="D8" s="89"/>
      <c r="E8" s="89"/>
      <c r="F8" s="9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131</v>
      </c>
      <c r="C14" s="89"/>
      <c r="D14" s="89"/>
      <c r="E14" s="89"/>
      <c r="F14" s="9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133</v>
      </c>
      <c r="C20" s="89"/>
      <c r="D20" s="89"/>
      <c r="E20" s="89"/>
      <c r="F20" s="9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227</v>
      </c>
      <c r="C26" s="89"/>
      <c r="D26" s="89"/>
      <c r="E26" s="89"/>
      <c r="F26" s="9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257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3" t="s">
        <v>170</v>
      </c>
      <c r="C9" s="26">
        <v>1.2699999999999999E-2</v>
      </c>
      <c r="D9" s="1"/>
    </row>
    <row r="10" spans="1:4" x14ac:dyDescent="0.25">
      <c r="A10" s="1"/>
      <c r="B10" s="53" t="s">
        <v>171</v>
      </c>
      <c r="C10" s="26">
        <v>1.7500000000000002E-2</v>
      </c>
      <c r="D10" s="1"/>
    </row>
    <row r="11" spans="1:4" x14ac:dyDescent="0.25">
      <c r="A11" s="1"/>
      <c r="B11" s="53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3" t="s">
        <v>173</v>
      </c>
      <c r="C18" s="23">
        <v>9.1000000000000004E-3</v>
      </c>
      <c r="D18" s="1"/>
    </row>
    <row r="19" spans="1:4" x14ac:dyDescent="0.25">
      <c r="A19" s="1"/>
      <c r="B19" s="53" t="s">
        <v>174</v>
      </c>
      <c r="C19" s="23">
        <v>1.77E-2</v>
      </c>
      <c r="D19" s="1"/>
    </row>
    <row r="20" spans="1:4" x14ac:dyDescent="0.25">
      <c r="A20" s="1"/>
      <c r="B20" s="53" t="s">
        <v>175</v>
      </c>
      <c r="C20" s="23">
        <v>8.6999999999999994E-3</v>
      </c>
      <c r="D20" s="1"/>
    </row>
    <row r="21" spans="1:4" x14ac:dyDescent="0.25">
      <c r="A21" s="1"/>
      <c r="B21" s="53" t="s">
        <v>176</v>
      </c>
      <c r="C21" s="41">
        <v>2.8400000000000002E-2</v>
      </c>
      <c r="D21" s="1"/>
    </row>
    <row r="22" spans="1:4" x14ac:dyDescent="0.25">
      <c r="A22" s="1"/>
      <c r="B22" s="53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3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185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141751744.56519246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21174.211800000001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2973087.4865999999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2829039.3606547713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-2951500.9124849453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-886827.3318839994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-3236127.4552230337</v>
      </c>
      <c r="D19" s="8" t="s">
        <v>3</v>
      </c>
      <c r="E19" s="1"/>
    </row>
    <row r="20" spans="1:5" ht="17.100000000000001" customHeight="1" x14ac:dyDescent="0.25">
      <c r="A20" s="1"/>
      <c r="B20" s="51" t="s">
        <v>22</v>
      </c>
      <c r="C20" s="10">
        <f>SUM(C9:C19)</f>
        <v>140500589.92465529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4545844.9569004895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1" t="s">
        <v>114</v>
      </c>
      <c r="C24" s="10">
        <f>'Fane 11. Periodevise driftsomk.'!E12</f>
        <v>460050.79657579953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1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ØR2019'!E30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221062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145727547.67813158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188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140500589.92465529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1714107.1970807947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-2844293.9424347216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-879693.69282632461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-3084379.0874214494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135406330.39905357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3044229.9199746754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driftsomk.'!E18</f>
        <v>457578.2476119498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ØR2019'!E38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138908138.5666402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189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135406330.39905357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1651957.2308684536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-2741165.7525984407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-872617.43676122965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-3036153.2782000713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130408351.16236229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3081369.5249983664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driftsomk.'!E24</f>
        <v>463160.70223281556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ØR2019'!E38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133952881.38959348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191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23</v>
      </c>
      <c r="C5" s="75"/>
      <c r="D5" s="75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130408351.16236229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1590981.8841808201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-2639986.6609308622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-865598.10209992237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-2988681.503618774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125505066.77989355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3118962.2332033468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driftsomk.'!E30</f>
        <v>468811.26280005596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129092840.27589695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194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6" t="s">
        <v>25</v>
      </c>
      <c r="C9" s="77"/>
      <c r="D9" s="78"/>
      <c r="E9" s="7">
        <v>141545519.92236415</v>
      </c>
      <c r="F9" s="8" t="s">
        <v>3</v>
      </c>
      <c r="G9" s="1"/>
    </row>
    <row r="10" spans="1:7" ht="15" customHeight="1" x14ac:dyDescent="0.25">
      <c r="A10" s="1"/>
      <c r="B10" s="79" t="s">
        <v>48</v>
      </c>
      <c r="C10" s="80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79" t="s">
        <v>49</v>
      </c>
      <c r="C11" s="80"/>
      <c r="D11" s="86"/>
      <c r="E11" s="9">
        <v>4377350.9202720011</v>
      </c>
      <c r="F11" s="8" t="s">
        <v>3</v>
      </c>
      <c r="G11" s="1"/>
    </row>
    <row r="12" spans="1:7" ht="15" customHeight="1" x14ac:dyDescent="0.25">
      <c r="A12" s="1"/>
      <c r="B12" s="79" t="s">
        <v>32</v>
      </c>
      <c r="C12" s="80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76" t="s">
        <v>31</v>
      </c>
      <c r="C13" s="77"/>
      <c r="D13" s="78"/>
      <c r="E13" s="9">
        <v>0</v>
      </c>
      <c r="F13" s="8" t="s">
        <v>3</v>
      </c>
      <c r="G13" s="1"/>
    </row>
    <row r="14" spans="1:7" ht="15" customHeight="1" x14ac:dyDescent="0.25">
      <c r="A14" s="1"/>
      <c r="B14" s="76" t="s">
        <v>34</v>
      </c>
      <c r="C14" s="77"/>
      <c r="D14" s="78"/>
      <c r="E14" s="9">
        <v>0</v>
      </c>
      <c r="F14" s="8" t="s">
        <v>3</v>
      </c>
      <c r="G14" s="1"/>
    </row>
    <row r="15" spans="1:7" ht="15" customHeight="1" x14ac:dyDescent="0.25">
      <c r="A15" s="1"/>
      <c r="B15" s="76" t="s">
        <v>33</v>
      </c>
      <c r="C15" s="77"/>
      <c r="D15" s="78"/>
      <c r="E15" s="9">
        <v>0</v>
      </c>
      <c r="F15" s="8" t="s">
        <v>3</v>
      </c>
      <c r="G15" s="1"/>
    </row>
    <row r="16" spans="1:7" ht="15" customHeight="1" x14ac:dyDescent="0.25">
      <c r="A16" s="1"/>
      <c r="B16" s="76" t="s">
        <v>20</v>
      </c>
      <c r="C16" s="77"/>
      <c r="D16" s="78"/>
      <c r="E16" s="9">
        <f>SUM(E9:E15)*'Fane 14. Nøgletal'!C12</f>
        <v>2874680.5555999316</v>
      </c>
      <c r="F16" s="8" t="s">
        <v>3</v>
      </c>
      <c r="G16" s="1"/>
    </row>
    <row r="17" spans="1:7" ht="15" customHeight="1" x14ac:dyDescent="0.25">
      <c r="A17" s="1"/>
      <c r="B17" s="76" t="s">
        <v>10</v>
      </c>
      <c r="C17" s="77"/>
      <c r="D17" s="78"/>
      <c r="E17" s="9">
        <f>-SUM(E9:E16)*'Fane 5. Individuelt eff. krav'!G11</f>
        <v>-2975951.0279647214</v>
      </c>
      <c r="F17" s="8" t="s">
        <v>3</v>
      </c>
      <c r="G17" s="1"/>
    </row>
    <row r="18" spans="1:7" ht="15" customHeight="1" x14ac:dyDescent="0.25">
      <c r="A18" s="1"/>
      <c r="B18" s="76" t="s">
        <v>29</v>
      </c>
      <c r="C18" s="77"/>
      <c r="D18" s="78"/>
      <c r="E18" s="9">
        <f>-'Fane 4.1. Gen. krav - drift'!G28</f>
        <v>-887014.26904303592</v>
      </c>
      <c r="F18" s="8" t="s">
        <v>3</v>
      </c>
      <c r="G18" s="1"/>
    </row>
    <row r="19" spans="1:7" ht="15" customHeight="1" x14ac:dyDescent="0.25">
      <c r="A19" s="1"/>
      <c r="B19" s="76" t="s">
        <v>30</v>
      </c>
      <c r="C19" s="77"/>
      <c r="D19" s="78"/>
      <c r="E19" s="9">
        <f>-'Fane 4.2. Gen. krav - anlæg'!G25</f>
        <v>-3182841.5360358735</v>
      </c>
      <c r="F19" s="8" t="s">
        <v>3</v>
      </c>
      <c r="G19" s="1"/>
    </row>
    <row r="20" spans="1:7" ht="15" customHeight="1" x14ac:dyDescent="0.25">
      <c r="A20" s="1"/>
      <c r="B20" s="51" t="s">
        <v>22</v>
      </c>
      <c r="C20" s="52"/>
      <c r="D20" s="54"/>
      <c r="E20" s="10">
        <f>SUM(E9:E19)</f>
        <v>141751744.56519246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7"/>
      <c r="E22" s="10">
        <v>4444802.3037331803</v>
      </c>
      <c r="F22" s="11" t="s">
        <v>3</v>
      </c>
      <c r="G22" s="1"/>
    </row>
    <row r="23" spans="1:7" ht="15" customHeight="1" x14ac:dyDescent="0.25">
      <c r="A23" s="1"/>
      <c r="B23" s="88" t="s">
        <v>114</v>
      </c>
      <c r="C23" s="89"/>
      <c r="D23" s="90"/>
      <c r="E23" s="32"/>
      <c r="F23" s="32"/>
      <c r="G23" s="1"/>
    </row>
    <row r="24" spans="1:7" ht="15" customHeight="1" x14ac:dyDescent="0.25">
      <c r="A24" s="1"/>
      <c r="B24" s="51" t="s">
        <v>114</v>
      </c>
      <c r="C24" s="44"/>
      <c r="D24" s="45"/>
      <c r="E24" s="10">
        <v>467825.48408327892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79" t="s">
        <v>109</v>
      </c>
      <c r="C26" s="80"/>
      <c r="D26" s="86"/>
      <c r="E26" s="9">
        <v>0</v>
      </c>
      <c r="F26" s="8" t="s">
        <v>3</v>
      </c>
      <c r="G26" s="1"/>
    </row>
    <row r="27" spans="1:7" ht="15" customHeight="1" x14ac:dyDescent="0.25">
      <c r="A27" s="1"/>
      <c r="B27" s="79" t="s">
        <v>110</v>
      </c>
      <c r="C27" s="80"/>
      <c r="D27" s="80"/>
      <c r="E27" s="9">
        <v>0</v>
      </c>
      <c r="F27" s="8" t="s">
        <v>3</v>
      </c>
      <c r="G27" s="1"/>
    </row>
    <row r="28" spans="1:7" ht="15" customHeight="1" x14ac:dyDescent="0.25">
      <c r="A28" s="1"/>
      <c r="B28" s="81" t="s">
        <v>115</v>
      </c>
      <c r="C28" s="82"/>
      <c r="D28" s="82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2035827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7"/>
      <c r="E34" s="10">
        <v>203517.6451684708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148903716.99817738</v>
      </c>
      <c r="F35" s="13" t="s">
        <v>3</v>
      </c>
      <c r="G35" s="1"/>
    </row>
    <row r="36" spans="1:7" ht="27" customHeight="1" x14ac:dyDescent="0.25">
      <c r="A36" s="1"/>
      <c r="B36" s="76" t="s">
        <v>218</v>
      </c>
      <c r="C36" s="77"/>
      <c r="D36" s="77"/>
      <c r="E36" s="77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5" t="s">
        <v>163</v>
      </c>
      <c r="C2" s="85"/>
      <c r="D2" s="85"/>
      <c r="E2" s="85"/>
      <c r="F2" s="85"/>
      <c r="G2" s="85"/>
      <c r="H2" s="85"/>
      <c r="I2" s="1"/>
    </row>
    <row r="3" spans="1:9" ht="28.5" customHeight="1" x14ac:dyDescent="0.25">
      <c r="A3" s="1"/>
      <c r="B3" s="85"/>
      <c r="C3" s="85"/>
      <c r="D3" s="85"/>
      <c r="E3" s="85"/>
      <c r="F3" s="85"/>
      <c r="G3" s="85"/>
      <c r="H3" s="85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8" t="s">
        <v>67</v>
      </c>
      <c r="C5" s="89"/>
      <c r="D5" s="89"/>
      <c r="E5" s="89"/>
      <c r="F5" s="89"/>
      <c r="G5" s="89"/>
      <c r="H5" s="90"/>
      <c r="I5" s="1"/>
    </row>
    <row r="6" spans="1:9" x14ac:dyDescent="0.25">
      <c r="A6" s="1"/>
      <c r="B6" s="91" t="s">
        <v>56</v>
      </c>
      <c r="C6" s="92"/>
      <c r="D6" s="92"/>
      <c r="E6" s="92"/>
      <c r="F6" s="93"/>
      <c r="G6" s="24">
        <v>44655150</v>
      </c>
      <c r="H6" s="14" t="s">
        <v>3</v>
      </c>
      <c r="I6" s="1"/>
    </row>
    <row r="7" spans="1:9" x14ac:dyDescent="0.25">
      <c r="A7" s="1"/>
      <c r="B7" s="76" t="s">
        <v>181</v>
      </c>
      <c r="C7" s="77"/>
      <c r="D7" s="77"/>
      <c r="E7" s="77"/>
      <c r="F7" s="78"/>
      <c r="G7" s="24">
        <v>484960</v>
      </c>
      <c r="H7" s="14" t="s">
        <v>3</v>
      </c>
      <c r="I7" s="1"/>
    </row>
    <row r="8" spans="1:9" x14ac:dyDescent="0.25">
      <c r="A8" s="1"/>
      <c r="B8" s="91" t="s">
        <v>57</v>
      </c>
      <c r="C8" s="92"/>
      <c r="D8" s="92"/>
      <c r="E8" s="92"/>
      <c r="F8" s="93"/>
      <c r="G8" s="24">
        <f>SUM(G6:G7)*'Fane 14. Nøgletal'!C27</f>
        <v>902802.20000000007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8" t="s">
        <v>68</v>
      </c>
      <c r="C11" s="89"/>
      <c r="D11" s="89"/>
      <c r="E11" s="89"/>
      <c r="F11" s="89"/>
      <c r="G11" s="89"/>
      <c r="H11" s="90"/>
      <c r="I11" s="1"/>
    </row>
    <row r="12" spans="1:9" x14ac:dyDescent="0.25">
      <c r="A12" s="1"/>
      <c r="B12" s="91" t="s">
        <v>58</v>
      </c>
      <c r="C12" s="92"/>
      <c r="D12" s="92"/>
      <c r="E12" s="92"/>
      <c r="F12" s="93"/>
      <c r="G12" s="24">
        <f>(G6-G8)*(1+'Fane 14. Nøgletal'!C10)</f>
        <v>44518013.886500001</v>
      </c>
      <c r="H12" s="14" t="s">
        <v>3</v>
      </c>
      <c r="I12" s="1"/>
    </row>
    <row r="13" spans="1:9" ht="15" customHeight="1" x14ac:dyDescent="0.25">
      <c r="A13" s="1"/>
      <c r="B13" s="91" t="s">
        <v>182</v>
      </c>
      <c r="C13" s="92"/>
      <c r="D13" s="92"/>
      <c r="E13" s="92"/>
      <c r="F13" s="93"/>
      <c r="G13" s="24">
        <v>0.11720650661736727</v>
      </c>
      <c r="H13" s="14" t="s">
        <v>3</v>
      </c>
      <c r="I13" s="1"/>
    </row>
    <row r="14" spans="1:9" x14ac:dyDescent="0.25">
      <c r="A14" s="1"/>
      <c r="B14" s="76" t="s">
        <v>179</v>
      </c>
      <c r="C14" s="77"/>
      <c r="D14" s="77"/>
      <c r="E14" s="77"/>
      <c r="F14" s="78"/>
      <c r="G14" s="24">
        <v>472896.35250000004</v>
      </c>
      <c r="H14" s="14" t="s">
        <v>3</v>
      </c>
      <c r="I14" s="1"/>
    </row>
    <row r="15" spans="1:9" x14ac:dyDescent="0.25">
      <c r="A15" s="1"/>
      <c r="B15" s="94" t="s">
        <v>59</v>
      </c>
      <c r="C15" s="95"/>
      <c r="D15" s="95"/>
      <c r="E15" s="95"/>
      <c r="F15" s="96"/>
      <c r="G15" s="24">
        <v>0</v>
      </c>
      <c r="H15" s="14" t="s">
        <v>3</v>
      </c>
      <c r="I15" s="1"/>
    </row>
    <row r="16" spans="1:9" x14ac:dyDescent="0.25">
      <c r="A16" s="1"/>
      <c r="B16" s="91" t="s">
        <v>60</v>
      </c>
      <c r="C16" s="92"/>
      <c r="D16" s="92"/>
      <c r="E16" s="92"/>
      <c r="F16" s="93"/>
      <c r="G16" s="24">
        <f>SUM(G12:G15)*'Fane 14. Nøgletal'!C27</f>
        <v>899818.2071241301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8" t="s">
        <v>69</v>
      </c>
      <c r="C19" s="89"/>
      <c r="D19" s="89"/>
      <c r="E19" s="89"/>
      <c r="F19" s="89"/>
      <c r="G19" s="89"/>
      <c r="H19" s="90"/>
      <c r="I19" s="1"/>
    </row>
    <row r="20" spans="1:9" x14ac:dyDescent="0.25">
      <c r="A20" s="1"/>
      <c r="B20" s="91" t="s">
        <v>61</v>
      </c>
      <c r="C20" s="92"/>
      <c r="D20" s="92"/>
      <c r="E20" s="92"/>
      <c r="F20" s="93"/>
      <c r="G20" s="24">
        <f>(SUM(G12:G13,G15)-(G16))*(1+'Fane 14. Nøgletal'!C10)</f>
        <v>44381514.223022573</v>
      </c>
      <c r="H20" s="14" t="s">
        <v>3</v>
      </c>
      <c r="I20" s="1"/>
    </row>
    <row r="21" spans="1:9" x14ac:dyDescent="0.25">
      <c r="A21" s="1"/>
      <c r="B21" s="94" t="s">
        <v>62</v>
      </c>
      <c r="C21" s="95"/>
      <c r="D21" s="95"/>
      <c r="E21" s="95"/>
      <c r="F21" s="96"/>
      <c r="G21" s="24">
        <v>0</v>
      </c>
      <c r="H21" s="14" t="s">
        <v>3</v>
      </c>
      <c r="I21" s="1"/>
    </row>
    <row r="22" spans="1:9" x14ac:dyDescent="0.25">
      <c r="A22" s="1"/>
      <c r="B22" s="91" t="s">
        <v>63</v>
      </c>
      <c r="C22" s="92"/>
      <c r="D22" s="92"/>
      <c r="E22" s="92"/>
      <c r="F22" s="93"/>
      <c r="G22" s="24">
        <f>SUM(G20:G21)*'Fane 14. Nøgletal'!C27</f>
        <v>887630.28446045145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8" t="s">
        <v>70</v>
      </c>
      <c r="C25" s="89"/>
      <c r="D25" s="89"/>
      <c r="E25" s="89"/>
      <c r="F25" s="89"/>
      <c r="G25" s="89"/>
      <c r="H25" s="90"/>
      <c r="I25" s="1"/>
    </row>
    <row r="26" spans="1:9" x14ac:dyDescent="0.25">
      <c r="A26" s="1"/>
      <c r="B26" s="91" t="s">
        <v>64</v>
      </c>
      <c r="C26" s="92"/>
      <c r="D26" s="92"/>
      <c r="E26" s="92"/>
      <c r="F26" s="93"/>
      <c r="G26" s="24">
        <f>(G20+G21-G22)*(1+'Fane 14. Nøgletal'!C12)</f>
        <v>44350713.452151798</v>
      </c>
      <c r="H26" s="14" t="s">
        <v>3</v>
      </c>
      <c r="I26" s="1"/>
    </row>
    <row r="27" spans="1:9" x14ac:dyDescent="0.25">
      <c r="A27" s="1"/>
      <c r="B27" s="94" t="s">
        <v>65</v>
      </c>
      <c r="C27" s="95"/>
      <c r="D27" s="95"/>
      <c r="E27" s="95"/>
      <c r="F27" s="96"/>
      <c r="G27" s="24">
        <v>0</v>
      </c>
      <c r="H27" s="14" t="s">
        <v>3</v>
      </c>
      <c r="I27" s="1"/>
    </row>
    <row r="28" spans="1:9" x14ac:dyDescent="0.25">
      <c r="A28" s="1"/>
      <c r="B28" s="91" t="s">
        <v>66</v>
      </c>
      <c r="C28" s="92"/>
      <c r="D28" s="92"/>
      <c r="E28" s="92"/>
      <c r="F28" s="93"/>
      <c r="G28" s="24">
        <f>(G26+G27)*'Fane 14. Nøgletal'!C27</f>
        <v>887014.26904303592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8" t="s">
        <v>73</v>
      </c>
      <c r="C31" s="89"/>
      <c r="D31" s="89"/>
      <c r="E31" s="89"/>
      <c r="F31" s="89"/>
      <c r="G31" s="89"/>
      <c r="H31" s="90"/>
      <c r="I31" s="1"/>
    </row>
    <row r="32" spans="1:9" x14ac:dyDescent="0.25">
      <c r="A32" s="1"/>
      <c r="B32" s="91" t="s">
        <v>74</v>
      </c>
      <c r="C32" s="92"/>
      <c r="D32" s="92"/>
      <c r="E32" s="92"/>
      <c r="F32" s="93"/>
      <c r="G32" s="24">
        <f>(G26+G27-G28)*(1+'Fane 14. Nøgletal'!C12)</f>
        <v>44319934.057016008</v>
      </c>
      <c r="H32" s="14" t="s">
        <v>3</v>
      </c>
      <c r="I32" s="1"/>
    </row>
    <row r="33" spans="1:9" x14ac:dyDescent="0.25">
      <c r="A33" s="1"/>
      <c r="B33" s="91" t="s">
        <v>230</v>
      </c>
      <c r="C33" s="92"/>
      <c r="D33" s="92"/>
      <c r="E33" s="92"/>
      <c r="F33" s="93"/>
      <c r="G33" s="24">
        <f>SUM('Fane 2.1. Økonomisk ramme 2021'!C10,'Fane 2.1. Økonomisk ramme 2021'!C12,'Fane 2.1. Økonomisk ramme 2021'!C14)*(1+'Fane 14. Nøgletal'!C13)</f>
        <v>21432.537183960001</v>
      </c>
      <c r="H33" s="14" t="s">
        <v>3</v>
      </c>
      <c r="I33" s="1"/>
    </row>
    <row r="34" spans="1:9" x14ac:dyDescent="0.25">
      <c r="A34" s="1"/>
      <c r="B34" s="91" t="s">
        <v>75</v>
      </c>
      <c r="C34" s="92"/>
      <c r="D34" s="92"/>
      <c r="E34" s="92"/>
      <c r="F34" s="93"/>
      <c r="G34" s="24">
        <f>(G32+G33)*'Fane 14. Nøgletal'!C27</f>
        <v>886827.3318839994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8" t="s">
        <v>100</v>
      </c>
      <c r="C37" s="89"/>
      <c r="D37" s="89"/>
      <c r="E37" s="89"/>
      <c r="F37" s="89"/>
      <c r="G37" s="89"/>
      <c r="H37" s="90"/>
      <c r="I37" s="1"/>
    </row>
    <row r="38" spans="1:9" x14ac:dyDescent="0.25">
      <c r="A38" s="1"/>
      <c r="B38" s="91" t="s">
        <v>99</v>
      </c>
      <c r="C38" s="92"/>
      <c r="D38" s="92"/>
      <c r="E38" s="92"/>
      <c r="F38" s="93"/>
      <c r="G38" s="24">
        <f>(G32+G33-G34)*(1+'Fane 14. Nøgletal'!C13)</f>
        <v>43984684.641316228</v>
      </c>
      <c r="H38" s="14" t="s">
        <v>3</v>
      </c>
      <c r="I38" s="1"/>
    </row>
    <row r="39" spans="1:9" x14ac:dyDescent="0.25">
      <c r="A39" s="1"/>
      <c r="B39" s="91" t="s">
        <v>117</v>
      </c>
      <c r="C39" s="92"/>
      <c r="D39" s="92"/>
      <c r="E39" s="92"/>
      <c r="F39" s="93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1" t="s">
        <v>76</v>
      </c>
      <c r="C40" s="92"/>
      <c r="D40" s="92"/>
      <c r="E40" s="92"/>
      <c r="F40" s="93"/>
      <c r="G40" s="24">
        <f>(G38+G39)*'Fane 14. Nøgletal'!C27</f>
        <v>879693.69282632461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8" t="s">
        <v>101</v>
      </c>
      <c r="C43" s="89"/>
      <c r="D43" s="89"/>
      <c r="E43" s="89"/>
      <c r="F43" s="89"/>
      <c r="G43" s="89"/>
      <c r="H43" s="90"/>
      <c r="I43" s="1"/>
    </row>
    <row r="44" spans="1:9" x14ac:dyDescent="0.25">
      <c r="A44" s="1"/>
      <c r="B44" s="91" t="s">
        <v>98</v>
      </c>
      <c r="C44" s="92"/>
      <c r="D44" s="92"/>
      <c r="E44" s="92"/>
      <c r="F44" s="93"/>
      <c r="G44" s="24">
        <f>(G38+G39-G40)*(1+'Fane 14. Nøgletal'!C13)</f>
        <v>43630871.838061482</v>
      </c>
      <c r="H44" s="14" t="s">
        <v>3</v>
      </c>
      <c r="I44" s="1"/>
    </row>
    <row r="45" spans="1:9" x14ac:dyDescent="0.25">
      <c r="A45" s="1"/>
      <c r="B45" s="91" t="s">
        <v>118</v>
      </c>
      <c r="C45" s="92"/>
      <c r="D45" s="92"/>
      <c r="E45" s="92"/>
      <c r="F45" s="93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1" t="s">
        <v>77</v>
      </c>
      <c r="C46" s="92"/>
      <c r="D46" s="92"/>
      <c r="E46" s="92"/>
      <c r="F46" s="93"/>
      <c r="G46" s="24">
        <f>(G44+G45)*'Fane 14. Nøgletal'!C27</f>
        <v>872617.43676122965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8" t="s">
        <v>231</v>
      </c>
      <c r="C51" s="89"/>
      <c r="D51" s="89"/>
      <c r="E51" s="89"/>
      <c r="F51" s="89"/>
      <c r="G51" s="89"/>
      <c r="H51" s="90"/>
      <c r="I51" s="1"/>
    </row>
    <row r="52" spans="1:9" x14ac:dyDescent="0.25">
      <c r="A52" s="1"/>
      <c r="B52" s="91" t="s">
        <v>232</v>
      </c>
      <c r="C52" s="92"/>
      <c r="D52" s="92"/>
      <c r="E52" s="92"/>
      <c r="F52" s="93"/>
      <c r="G52" s="24">
        <f>(G44+G45-G46)*(1+'Fane 14. Nøgletal'!C13)</f>
        <v>43279905.104996115</v>
      </c>
      <c r="H52" s="14" t="s">
        <v>3</v>
      </c>
      <c r="I52" s="1"/>
    </row>
    <row r="53" spans="1:9" x14ac:dyDescent="0.25">
      <c r="A53" s="1"/>
      <c r="B53" s="91" t="s">
        <v>233</v>
      </c>
      <c r="C53" s="92"/>
      <c r="D53" s="92"/>
      <c r="E53" s="92"/>
      <c r="F53" s="93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1" t="s">
        <v>234</v>
      </c>
      <c r="C54" s="92"/>
      <c r="D54" s="92"/>
      <c r="E54" s="92"/>
      <c r="F54" s="93"/>
      <c r="G54" s="24">
        <f>(G52+G53)*'Fane 14. Nøgletal'!C27</f>
        <v>865598.10209992237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1.5703125" style="2" customWidth="1"/>
    <col min="7" max="7" width="12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7" t="s">
        <v>164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8"/>
      <c r="C3" s="98"/>
      <c r="D3" s="98"/>
      <c r="E3" s="98"/>
      <c r="F3" s="98"/>
      <c r="G3" s="98"/>
      <c r="H3" s="98"/>
      <c r="I3" s="1"/>
    </row>
    <row r="4" spans="1:9" x14ac:dyDescent="0.25">
      <c r="A4" s="1"/>
      <c r="B4" s="88" t="s">
        <v>71</v>
      </c>
      <c r="C4" s="89"/>
      <c r="D4" s="89"/>
      <c r="E4" s="89"/>
      <c r="F4" s="89"/>
      <c r="G4" s="89"/>
      <c r="H4" s="90"/>
      <c r="I4" s="1"/>
    </row>
    <row r="5" spans="1:9" x14ac:dyDescent="0.25">
      <c r="A5" s="1"/>
      <c r="B5" s="91" t="s">
        <v>78</v>
      </c>
      <c r="C5" s="92"/>
      <c r="D5" s="92"/>
      <c r="E5" s="92"/>
      <c r="F5" s="93"/>
      <c r="G5" s="24">
        <v>107075238.06309244</v>
      </c>
      <c r="H5" s="14" t="s">
        <v>3</v>
      </c>
      <c r="I5" s="1"/>
    </row>
    <row r="6" spans="1:9" x14ac:dyDescent="0.25">
      <c r="A6" s="1"/>
      <c r="B6" s="91" t="s">
        <v>72</v>
      </c>
      <c r="C6" s="92"/>
      <c r="D6" s="92"/>
      <c r="E6" s="92"/>
      <c r="F6" s="93"/>
      <c r="G6" s="24">
        <f>G5*'Fane 14. Nøgletal'!C18</f>
        <v>974384.66637414123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8" t="s">
        <v>79</v>
      </c>
      <c r="C9" s="89"/>
      <c r="D9" s="89"/>
      <c r="E9" s="89"/>
      <c r="F9" s="89"/>
      <c r="G9" s="89"/>
      <c r="H9" s="90"/>
      <c r="I9" s="1"/>
    </row>
    <row r="10" spans="1:9" x14ac:dyDescent="0.25">
      <c r="A10" s="1"/>
      <c r="B10" s="91" t="s">
        <v>80</v>
      </c>
      <c r="C10" s="92"/>
      <c r="D10" s="92"/>
      <c r="E10" s="92"/>
      <c r="F10" s="93"/>
      <c r="G10" s="24">
        <f>(G5-G6)*(1+'Fane 14. Nøgletal'!C10)</f>
        <v>107957618.33116087</v>
      </c>
      <c r="H10" s="14" t="s">
        <v>3</v>
      </c>
      <c r="I10" s="1"/>
    </row>
    <row r="11" spans="1:9" x14ac:dyDescent="0.25">
      <c r="A11" s="1"/>
      <c r="B11" s="91" t="s">
        <v>183</v>
      </c>
      <c r="C11" s="92"/>
      <c r="D11" s="92"/>
      <c r="E11" s="92"/>
      <c r="F11" s="93"/>
      <c r="G11" s="24">
        <v>-1085053.9324935006</v>
      </c>
      <c r="H11" s="14" t="s">
        <v>3</v>
      </c>
      <c r="I11" s="1"/>
    </row>
    <row r="12" spans="1:9" x14ac:dyDescent="0.25">
      <c r="A12" s="1"/>
      <c r="B12" s="94" t="s">
        <v>81</v>
      </c>
      <c r="C12" s="95"/>
      <c r="D12" s="95"/>
      <c r="E12" s="95"/>
      <c r="F12" s="96"/>
      <c r="G12" s="24">
        <v>0</v>
      </c>
      <c r="H12" s="14" t="s">
        <v>3</v>
      </c>
      <c r="I12" s="1"/>
    </row>
    <row r="13" spans="1:9" x14ac:dyDescent="0.25">
      <c r="A13" s="1"/>
      <c r="B13" s="91" t="s">
        <v>82</v>
      </c>
      <c r="C13" s="92"/>
      <c r="D13" s="92"/>
      <c r="E13" s="92"/>
      <c r="F13" s="93"/>
      <c r="G13" s="24">
        <f>SUM(G10:G12)*'Fane 14. Nøgletal'!C19</f>
        <v>1891644.3898564123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8" t="s">
        <v>83</v>
      </c>
      <c r="C16" s="89"/>
      <c r="D16" s="89"/>
      <c r="E16" s="89"/>
      <c r="F16" s="89"/>
      <c r="G16" s="89"/>
      <c r="H16" s="90"/>
      <c r="I16" s="1"/>
    </row>
    <row r="17" spans="1:9" x14ac:dyDescent="0.25">
      <c r="A17" s="1"/>
      <c r="B17" s="91" t="s">
        <v>84</v>
      </c>
      <c r="C17" s="92"/>
      <c r="D17" s="92"/>
      <c r="E17" s="92"/>
      <c r="F17" s="93"/>
      <c r="G17" s="24">
        <f>(SUM(G10:G12)-G13)*(1+'Fane 14. Nøgletal'!C10)</f>
        <v>106818086.10896516</v>
      </c>
      <c r="H17" s="14" t="s">
        <v>3</v>
      </c>
      <c r="I17" s="1"/>
    </row>
    <row r="18" spans="1:9" x14ac:dyDescent="0.25">
      <c r="A18" s="1"/>
      <c r="B18" s="94" t="s">
        <v>85</v>
      </c>
      <c r="C18" s="95"/>
      <c r="D18" s="95"/>
      <c r="E18" s="95"/>
      <c r="F18" s="96"/>
      <c r="G18" s="24">
        <v>607248.79517069401</v>
      </c>
      <c r="H18" s="14" t="s">
        <v>3</v>
      </c>
      <c r="I18" s="1"/>
    </row>
    <row r="19" spans="1:9" x14ac:dyDescent="0.25">
      <c r="A19" s="1"/>
      <c r="B19" s="91" t="s">
        <v>86</v>
      </c>
      <c r="C19" s="92"/>
      <c r="D19" s="92"/>
      <c r="E19" s="92"/>
      <c r="F19" s="93"/>
      <c r="G19" s="24">
        <f>G17*'Fane 14. Nøgletal'!C19+G18*'Fane 14. Nøgletal'!C20</f>
        <v>1895963.1886466683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8" t="s">
        <v>87</v>
      </c>
      <c r="C22" s="89"/>
      <c r="D22" s="89"/>
      <c r="E22" s="89"/>
      <c r="F22" s="89"/>
      <c r="G22" s="89"/>
      <c r="H22" s="90"/>
      <c r="I22" s="1"/>
    </row>
    <row r="23" spans="1:9" x14ac:dyDescent="0.25">
      <c r="A23" s="1"/>
      <c r="B23" s="91" t="s">
        <v>88</v>
      </c>
      <c r="C23" s="92"/>
      <c r="D23" s="92"/>
      <c r="E23" s="92"/>
      <c r="F23" s="93"/>
      <c r="G23" s="24">
        <f>(G17+G18-G19)*(1+'Fane 14. Nøgletal'!C12)</f>
        <v>107608300.33828431</v>
      </c>
      <c r="H23" s="14" t="s">
        <v>3</v>
      </c>
      <c r="I23" s="1"/>
    </row>
    <row r="24" spans="1:9" x14ac:dyDescent="0.25">
      <c r="A24" s="1"/>
      <c r="B24" s="94" t="s">
        <v>89</v>
      </c>
      <c r="C24" s="95"/>
      <c r="D24" s="95"/>
      <c r="E24" s="95"/>
      <c r="F24" s="96"/>
      <c r="G24" s="24">
        <v>4463584.73340136</v>
      </c>
      <c r="H24" s="14" t="s">
        <v>3</v>
      </c>
      <c r="I24" s="1"/>
    </row>
    <row r="25" spans="1:9" x14ac:dyDescent="0.25">
      <c r="A25" s="1"/>
      <c r="B25" s="91" t="s">
        <v>90</v>
      </c>
      <c r="C25" s="92"/>
      <c r="D25" s="92"/>
      <c r="E25" s="92"/>
      <c r="F25" s="93"/>
      <c r="G25" s="24">
        <f>(G23+G24)*'Fane 14. Nøgletal'!C21</f>
        <v>3182841.5360358735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8" t="s">
        <v>91</v>
      </c>
      <c r="C28" s="89"/>
      <c r="D28" s="89"/>
      <c r="E28" s="89"/>
      <c r="F28" s="89"/>
      <c r="G28" s="89"/>
      <c r="H28" s="90"/>
      <c r="I28" s="1"/>
    </row>
    <row r="29" spans="1:9" x14ac:dyDescent="0.25">
      <c r="A29" s="1"/>
      <c r="B29" s="91" t="s">
        <v>92</v>
      </c>
      <c r="C29" s="92"/>
      <c r="D29" s="92"/>
      <c r="E29" s="92"/>
      <c r="F29" s="93"/>
      <c r="G29" s="24">
        <f>(G23+G24-G25)*(1+'Fane 14. Nøgletal'!C12)</f>
        <v>111034157.69330209</v>
      </c>
      <c r="H29" s="14" t="s">
        <v>3</v>
      </c>
      <c r="I29" s="1"/>
    </row>
    <row r="30" spans="1:9" x14ac:dyDescent="0.25">
      <c r="A30" s="1"/>
      <c r="B30" s="91" t="s">
        <v>235</v>
      </c>
      <c r="C30" s="92"/>
      <c r="D30" s="92"/>
      <c r="E30" s="92"/>
      <c r="F30" s="93"/>
      <c r="G30" s="24">
        <f>SUM('Fane 2.1. Økonomisk ramme 2021'!C11,'Fane 2.1. Økonomisk ramme 2021'!C13,'Fane 2.1. Økonomisk ramme 2021'!C15)*(1+'Fane 14. Nøgletal'!C13)</f>
        <v>3009359.1539365198</v>
      </c>
      <c r="H30" s="14" t="s">
        <v>3</v>
      </c>
      <c r="I30" s="1"/>
    </row>
    <row r="31" spans="1:9" x14ac:dyDescent="0.25">
      <c r="A31" s="1"/>
      <c r="B31" s="91" t="s">
        <v>93</v>
      </c>
      <c r="C31" s="92"/>
      <c r="D31" s="92"/>
      <c r="E31" s="92"/>
      <c r="F31" s="93"/>
      <c r="G31" s="24">
        <f>G29*'Fane 14. Nøgletal'!C21+G30*'Fane 14. Nøgletal'!C22</f>
        <v>3236127.4552230337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8" t="s">
        <v>102</v>
      </c>
      <c r="C34" s="89"/>
      <c r="D34" s="89"/>
      <c r="E34" s="89"/>
      <c r="F34" s="89"/>
      <c r="G34" s="89"/>
      <c r="H34" s="90"/>
      <c r="I34" s="1"/>
    </row>
    <row r="35" spans="1:9" x14ac:dyDescent="0.25">
      <c r="A35" s="1"/>
      <c r="B35" s="91" t="s">
        <v>97</v>
      </c>
      <c r="C35" s="92"/>
      <c r="D35" s="92"/>
      <c r="E35" s="92"/>
      <c r="F35" s="93"/>
      <c r="G35" s="24">
        <f>(G29+G30-G31)*(1+'Fane 14. Nøgletal'!C13)</f>
        <v>112159239.54259816</v>
      </c>
      <c r="H35" s="14" t="s">
        <v>3</v>
      </c>
      <c r="I35" s="1"/>
    </row>
    <row r="36" spans="1:9" x14ac:dyDescent="0.25">
      <c r="A36" s="1"/>
      <c r="B36" s="91" t="s">
        <v>122</v>
      </c>
      <c r="C36" s="92"/>
      <c r="D36" s="92"/>
      <c r="E36" s="92"/>
      <c r="F36" s="93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1" t="s">
        <v>94</v>
      </c>
      <c r="C37" s="92"/>
      <c r="D37" s="92"/>
      <c r="E37" s="92"/>
      <c r="F37" s="93"/>
      <c r="G37" s="24">
        <f>(G35+G36)*'Fane 14. Nøgletal'!C22</f>
        <v>3084379.0874214494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8" t="s">
        <v>103</v>
      </c>
      <c r="C40" s="89"/>
      <c r="D40" s="89"/>
      <c r="E40" s="89"/>
      <c r="F40" s="89"/>
      <c r="G40" s="89"/>
      <c r="H40" s="90"/>
      <c r="I40" s="1"/>
    </row>
    <row r="41" spans="1:9" x14ac:dyDescent="0.25">
      <c r="A41" s="1"/>
      <c r="B41" s="91" t="s">
        <v>96</v>
      </c>
      <c r="C41" s="92"/>
      <c r="D41" s="92"/>
      <c r="E41" s="92"/>
      <c r="F41" s="93"/>
      <c r="G41" s="24">
        <f>(G35+G36-G37)*(1+'Fane 14. Nøgletal'!C13)</f>
        <v>110405573.75272986</v>
      </c>
      <c r="H41" s="14" t="s">
        <v>3</v>
      </c>
      <c r="I41" s="1"/>
    </row>
    <row r="42" spans="1:9" x14ac:dyDescent="0.25">
      <c r="A42" s="1"/>
      <c r="B42" s="91" t="s">
        <v>123</v>
      </c>
      <c r="C42" s="92"/>
      <c r="D42" s="92"/>
      <c r="E42" s="92"/>
      <c r="F42" s="93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1" t="s">
        <v>95</v>
      </c>
      <c r="C43" s="92"/>
      <c r="D43" s="92"/>
      <c r="E43" s="92"/>
      <c r="F43" s="93"/>
      <c r="G43" s="24">
        <f>(G41+G42)*'Fane 14. Nøgletal'!C22</f>
        <v>3036153.2782000713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8" t="s">
        <v>240</v>
      </c>
      <c r="C46" s="89"/>
      <c r="D46" s="89"/>
      <c r="E46" s="89"/>
      <c r="F46" s="89"/>
      <c r="G46" s="89"/>
      <c r="H46" s="90"/>
      <c r="I46" s="1"/>
    </row>
    <row r="47" spans="1:9" x14ac:dyDescent="0.25">
      <c r="A47" s="1"/>
      <c r="B47" s="91" t="s">
        <v>241</v>
      </c>
      <c r="C47" s="92"/>
      <c r="D47" s="92"/>
      <c r="E47" s="92"/>
      <c r="F47" s="93"/>
      <c r="G47" s="24">
        <f>(G41+G42-G43)*(1+'Fane 14. Nøgletal'!C13)</f>
        <v>108679327.40431905</v>
      </c>
      <c r="H47" s="14" t="s">
        <v>3</v>
      </c>
      <c r="I47" s="1"/>
    </row>
    <row r="48" spans="1:9" x14ac:dyDescent="0.25">
      <c r="A48" s="1"/>
      <c r="B48" s="91" t="s">
        <v>242</v>
      </c>
      <c r="C48" s="92"/>
      <c r="D48" s="92"/>
      <c r="E48" s="92"/>
      <c r="F48" s="93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1" t="s">
        <v>243</v>
      </c>
      <c r="C49" s="92"/>
      <c r="D49" s="92"/>
      <c r="E49" s="92"/>
      <c r="F49" s="93"/>
      <c r="G49" s="24">
        <f>(G47+G48)*'Fane 14. Nøgletal'!C22</f>
        <v>2988681.503618774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d+XX/rU/G3/W7KbdwhiQDyJ49dpN0zn8kIxCf1FNYYwPHFXWmcVfsG8zRHgR6911q/QSVtZDUj+hN83fwK8jzg==" saltValue="KyHqCcRLOyhBvEvkNTcxu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10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1" t="s">
        <v>104</v>
      </c>
      <c r="C9" s="92"/>
      <c r="D9" s="92"/>
      <c r="E9" s="92"/>
      <c r="F9" s="93"/>
      <c r="G9" s="23">
        <v>9.4605700825168611E-3</v>
      </c>
      <c r="H9" s="14"/>
      <c r="I9" s="1"/>
    </row>
    <row r="10" spans="1:9" x14ac:dyDescent="0.25">
      <c r="A10" s="1"/>
      <c r="B10" s="91" t="s">
        <v>105</v>
      </c>
      <c r="C10" s="92"/>
      <c r="D10" s="92"/>
      <c r="E10" s="92"/>
      <c r="F10" s="93"/>
      <c r="G10" s="23">
        <v>0.02</v>
      </c>
      <c r="H10" s="14"/>
      <c r="I10" s="1"/>
    </row>
    <row r="11" spans="1:9" x14ac:dyDescent="0.25">
      <c r="A11" s="1"/>
      <c r="B11" s="91" t="s">
        <v>106</v>
      </c>
      <c r="C11" s="92"/>
      <c r="D11" s="92"/>
      <c r="E11" s="92"/>
      <c r="F11" s="93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6" t="s">
        <v>258</v>
      </c>
      <c r="C13" s="77"/>
      <c r="D13" s="77"/>
      <c r="E13" s="77"/>
      <c r="F13" s="77"/>
      <c r="G13" s="77"/>
      <c r="H13" s="78"/>
      <c r="I13" s="1"/>
    </row>
    <row r="14" spans="1:9" ht="14.25" customHeight="1" x14ac:dyDescent="0.25">
      <c r="A14" s="18"/>
      <c r="B14" s="99"/>
      <c r="C14" s="99"/>
      <c r="D14" s="99"/>
      <c r="E14" s="99"/>
      <c r="F14" s="99"/>
      <c r="G14" s="99"/>
      <c r="H14" s="99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2020-09-14T11:08:44Z</dcterms:modified>
</cp:coreProperties>
</file>