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Køge Vand AS (V116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30" i="32" l="1"/>
  <c r="E12" i="32" l="1"/>
  <c r="E35" i="32" l="1"/>
  <c r="E26" i="32" l="1"/>
  <c r="E37" i="32" s="1"/>
  <c r="C23" i="23" l="1"/>
  <c r="C23" i="22"/>
  <c r="C24" i="15"/>
  <c r="C30" i="2"/>
  <c r="C14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<sst xmlns="http://schemas.openxmlformats.org/spreadsheetml/2006/main" count="620" uniqueCount="254">
  <si>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</si>
  <si>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</si>
  <si>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</si>
  <si>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</si>
  <si>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</si>
  <si>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</si>
  <si>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</si>
  <si>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</si>
  <si>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</si>
  <si>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</si>
  <si>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</si>
  <si>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</si>
  <si>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</si>
  <si>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</si>
  <si>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</si>
  <si>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</si>
  <si>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</si>
  <si>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</si>
  <si>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</si>
  <si>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</si>
  <si>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</si>
  <si>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</si>
  <si>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</si>
  <si>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</si>
  <si>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</si>
  <si>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</si>
  <si>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</si>
  <si>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</si>
  <si>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</si>
  <si>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</si>
  <si>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</si>
  <si>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</si>
  <si>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</si>
  <si>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</si>
  <si>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</si>
  <si>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</si>
  <si>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</si>
  <si>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</si>
  <si>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</si>
  <si>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</si>
  <si>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</si>
  <si>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</si>
  <si>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</si>
  <si>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</si>
  <si>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</si>
  <si>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</si>
  <si>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</si>
  <si>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</si>
  <si>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</si>
  <si>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</si>
  <si>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</si>
  <si>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</si>
  <si>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</si>
  <si>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</si>
  <si>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</si>
  <si>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</si>
  <si>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</si>
  <si>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</si>
  <si>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</si>
  <si>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</si>
  <si>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</si>
  <si>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</si>
  <si>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</si>
  <si>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</si>
  <si>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</si>
  <si>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</si>
  <si>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</si>
  <si>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</si>
  <si>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</si>
  <si>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</si>
  <si>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</si>
  <si>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</si>
  <si>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</si>
  <si>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</si>
  <si>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</si>
  <si>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</si>
  <si>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</si>
  <si>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</si>
  <si>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</si>
  <si>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</si>
  <si>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</si>
  <si>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</si>
  <si>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</si>
  <si>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</si>
  <si>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</si>
  <si>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</si>
  <si>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</si>
  <si>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</si>
  <si>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</si>
  <si>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</si>
  <si>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</si>
  <si>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</si>
  <si>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</si>
  <si>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</si>
  <si>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</si>
  <si>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</si>
  <si>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</si>
  <si>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</si>
  <si>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</si>
  <si>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</si>
  <si>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</si>
  <si>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</si>
  <si>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</si>
  <si>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</si>
  <si>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</si>
  <si>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</si>
  <si>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</si>
  <si>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</si>
  <si>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</si>
  <si>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</si>
  <si>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</si>
  <si>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</si>
  <si>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</si>
  <si>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</si>
  <si>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</si>
  <si>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</si>
  <si>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</si>
  <si>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</si>
  <si>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</si>
  <si>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</si>
  <si>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</si>
  <si>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</si>
  <si>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</si>
  <si>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</si>
  <si>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</si>
  <si>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</si>
  <si>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</si>
  <si>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</si>
  <si>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</si>
  <si>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</si>
  <si>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</si>
  <si>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</si>
  <si>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</si>
  <si>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</si>
  <si>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</si>
  <si>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</si>
  <si>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</si>
  <si>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</si>
  <si>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</si>
  <si>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</si>
  <si>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</si>
  <si>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</si>
  <si>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</si>
  <si>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</si>
  <si>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</si>
  <si>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</si>
  <si>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</si>
  <si>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</si>
  <si>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</si>
  <si>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</si>
  <si>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</si>
  <si>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</si>
  <si>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</si>
  <si>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</si>
  <si>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</si>
  <si>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</si>
  <si>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</si>
  <si>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</si>
  <si>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</si>
  <si>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</si>
  <si>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</si>
  <si>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</si>
  <si>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</si>
  <si>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</si>
  <si>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</si>
  <si>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</si>
  <si>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</si>
  <si>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</si>
  <si>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</si>
  <si>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</si>
  <si>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</si>
  <si>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</si>
  <si>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</si>
  <si>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</si>
  <si>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</si>
  <si>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</si>
  <si>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</si>
  <si>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</si>
  <si>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</si>
  <si>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</si>
  <si>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</si>
  <si>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</si>
  <si>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</si>
  <si>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</si>
  <si>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</si>
  <si>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</si>
  <si>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</si>
  <si>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</si>
  <si>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</si>
  <si>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</si>
  <si>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</si>
  <si>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</si>
  <si>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</si>
  <si>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</si>
  <si>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</si>
  <si>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</si>
  <si>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</si>
  <si>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</si>
  <si>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</si>
  <si>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</si>
  <si>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</si>
  <si>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</si>
  <si>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</si>
  <si>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</si>
  <si>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</si>
  <si>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</si>
  <si>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</si>
  <si>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</si>
  <si>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</si>
  <si>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</si>
  <si>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</si>
  <si>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</si>
  <si>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</si>
  <si>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</si>
  <si>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</si>
  <si>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</si>
  <si>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</si>
  <si>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</si>
  <si>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</si>
  <si>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</si>
  <si>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</si>
  <si>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</si>
  <si>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</si>
  <si>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</si>
  <si>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</si>
  <si>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</si>
  <si>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</si>
  <si>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Udvidelse</t>
  </si>
  <si>
    <t>Ingen tilknyttet virksomhed</t>
  </si>
  <si>
    <t>Afgift for ledningsført vand</t>
  </si>
  <si>
    <t>Afgift til Forsyningssekretariatet</t>
  </si>
  <si>
    <t>Ejendomsskat</t>
  </si>
  <si>
    <t>Tjenestemandspensioner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</si>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</sst>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3" fontId="0" fillId="0" borderId="0" xfId="0" applyNumberForma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3">
          <cell r="A3" t="str">
            <v>S016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4" t="s">
        <v>4</v>
      </c>
      <c r="E6" s="84"/>
      <c r="F6" s="84"/>
      <c r="G6" s="84"/>
      <c r="H6" s="3"/>
      <c r="I6" s="1"/>
    </row>
    <row r="7" spans="1:9" ht="15" customHeight="1" x14ac:dyDescent="0.25">
      <c r="A7" s="1"/>
      <c r="B7" s="1"/>
      <c r="C7" s="3"/>
      <c r="D7" s="84"/>
      <c r="E7" s="84"/>
      <c r="F7" s="84"/>
      <c r="G7" s="84"/>
      <c r="H7" s="3"/>
      <c r="I7" s="1"/>
    </row>
    <row r="8" spans="1:9" ht="15.75" x14ac:dyDescent="0.25">
      <c r="A8" s="1"/>
      <c r="B8" s="1"/>
      <c r="C8" s="4"/>
      <c r="D8" s="86" t="s">
        <v>180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5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1" t="s">
        <v>163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15</v>
      </c>
      <c r="D14" s="81" t="s">
        <v>83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35</v>
      </c>
      <c r="D15" s="81" t="s">
        <v>128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36</v>
      </c>
      <c r="D16" s="81" t="s">
        <v>181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127</v>
      </c>
      <c r="D17" s="81" t="s">
        <v>182</v>
      </c>
      <c r="E17" s="82"/>
      <c r="F17" s="82"/>
      <c r="G17" s="83"/>
      <c r="H17" s="1"/>
      <c r="I17" s="1"/>
    </row>
    <row r="18" spans="1:9" x14ac:dyDescent="0.25">
      <c r="A18" s="1"/>
      <c r="B18" s="1"/>
      <c r="C18" s="32" t="s">
        <v>111</v>
      </c>
      <c r="D18" s="87" t="s">
        <v>100</v>
      </c>
      <c r="E18" s="88"/>
      <c r="F18" s="88"/>
      <c r="G18" s="89"/>
      <c r="H18" s="1"/>
      <c r="I18" s="1"/>
    </row>
    <row r="19" spans="1:9" x14ac:dyDescent="0.25">
      <c r="A19" s="1"/>
      <c r="B19" s="1"/>
      <c r="C19" s="32" t="s">
        <v>112</v>
      </c>
      <c r="D19" s="87" t="s">
        <v>101</v>
      </c>
      <c r="E19" s="88"/>
      <c r="F19" s="88"/>
      <c r="G19" s="89"/>
      <c r="H19" s="1"/>
      <c r="I19" s="1"/>
    </row>
    <row r="20" spans="1:9" x14ac:dyDescent="0.25">
      <c r="A20" s="1"/>
      <c r="B20" s="1"/>
      <c r="C20" s="32" t="s">
        <v>7</v>
      </c>
      <c r="D20" s="87" t="s">
        <v>9</v>
      </c>
      <c r="E20" s="88"/>
      <c r="F20" s="88"/>
      <c r="G20" s="89"/>
      <c r="H20" s="1"/>
      <c r="I20" s="1"/>
    </row>
    <row r="21" spans="1:9" x14ac:dyDescent="0.25">
      <c r="A21" s="1"/>
      <c r="B21" s="1"/>
      <c r="C21" s="6" t="s">
        <v>113</v>
      </c>
      <c r="D21" s="78" t="s">
        <v>12</v>
      </c>
      <c r="E21" s="79"/>
      <c r="F21" s="79"/>
      <c r="G21" s="80"/>
      <c r="H21" s="1"/>
      <c r="I21" s="1"/>
    </row>
    <row r="22" spans="1:9" x14ac:dyDescent="0.25">
      <c r="A22" s="1"/>
      <c r="B22" s="1"/>
      <c r="C22" s="6" t="s">
        <v>87</v>
      </c>
      <c r="D22" s="72" t="s">
        <v>183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8</v>
      </c>
      <c r="D23" s="72" t="s">
        <v>37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170</v>
      </c>
      <c r="D24" s="72" t="s">
        <v>88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171</v>
      </c>
      <c r="D25" s="72" t="s">
        <v>89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172</v>
      </c>
      <c r="D26" s="72" t="s">
        <v>129</v>
      </c>
      <c r="E26" s="73"/>
      <c r="F26" s="73"/>
      <c r="G26" s="74"/>
      <c r="H26" s="1"/>
      <c r="I26" s="1"/>
    </row>
    <row r="27" spans="1:9" x14ac:dyDescent="0.25">
      <c r="A27" s="1"/>
      <c r="B27" s="1"/>
      <c r="C27" s="6" t="s">
        <v>114</v>
      </c>
      <c r="D27" s="72" t="s">
        <v>38</v>
      </c>
      <c r="E27" s="73"/>
      <c r="F27" s="73"/>
      <c r="G27" s="74"/>
      <c r="H27" s="1"/>
      <c r="I27" s="1"/>
    </row>
    <row r="28" spans="1:9" x14ac:dyDescent="0.25">
      <c r="A28" s="1"/>
      <c r="B28" s="1"/>
      <c r="C28" s="6" t="s">
        <v>108</v>
      </c>
      <c r="D28" s="75" t="s">
        <v>109</v>
      </c>
      <c r="E28" s="76"/>
      <c r="F28" s="76"/>
      <c r="G28" s="77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iubwU+EX4B1fvi8yJ1C5u0BBuEUN25WbL4/NuQxaPc48QzerYxJo4KkPDYC13sAaxtvgHsru3ptVkrBZ2DkMA==" saltValue="B0a2V057Xo79XllZorwcgA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90" t="s">
        <v>117</v>
      </c>
      <c r="C3" s="90"/>
      <c r="D3" s="90"/>
      <c r="E3" s="1"/>
      <c r="F3" s="1"/>
    </row>
    <row r="4" spans="1:6" ht="15" customHeight="1" x14ac:dyDescent="0.25">
      <c r="A4" s="1"/>
      <c r="B4" s="90"/>
      <c r="C4" s="90"/>
      <c r="D4" s="90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3" t="s">
        <v>203</v>
      </c>
      <c r="C8" s="114"/>
      <c r="D8" s="115"/>
      <c r="E8" s="1"/>
      <c r="F8" s="1"/>
    </row>
    <row r="9" spans="1:6" ht="15" customHeight="1" x14ac:dyDescent="0.25">
      <c r="A9" s="1"/>
      <c r="B9" s="56" t="s">
        <v>33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67" t="s">
        <v>229</v>
      </c>
      <c r="C10" s="9">
        <v>9696679.8399999999</v>
      </c>
      <c r="D10" s="14" t="s">
        <v>3</v>
      </c>
      <c r="E10" s="1"/>
      <c r="F10" s="1"/>
    </row>
    <row r="11" spans="1:6" x14ac:dyDescent="0.25">
      <c r="A11" s="1"/>
      <c r="B11" s="67" t="s">
        <v>230</v>
      </c>
      <c r="C11" s="9">
        <v>68503</v>
      </c>
      <c r="D11" s="14" t="s">
        <v>3</v>
      </c>
      <c r="E11" s="1"/>
      <c r="F11" s="1"/>
    </row>
    <row r="12" spans="1:6" x14ac:dyDescent="0.25">
      <c r="A12" s="1"/>
      <c r="B12" s="67" t="s">
        <v>231</v>
      </c>
      <c r="C12" s="9">
        <v>50720.53</v>
      </c>
      <c r="D12" s="14" t="s">
        <v>3</v>
      </c>
      <c r="E12" s="1"/>
      <c r="F12" s="1"/>
    </row>
    <row r="13" spans="1:6" x14ac:dyDescent="0.25">
      <c r="A13" s="1"/>
      <c r="B13" s="67" t="s">
        <v>232</v>
      </c>
      <c r="C13" s="9">
        <v>244999.92</v>
      </c>
      <c r="D13" s="14" t="s">
        <v>3</v>
      </c>
      <c r="E13" s="1"/>
      <c r="F13" s="1"/>
    </row>
    <row r="14" spans="1:6" x14ac:dyDescent="0.25">
      <c r="A14" s="1"/>
      <c r="B14" s="59" t="s">
        <v>205</v>
      </c>
      <c r="C14" s="12">
        <f>SUM(C10:C13)</f>
        <v>10060903.289999999</v>
      </c>
      <c r="D14" s="13" t="s">
        <v>3</v>
      </c>
      <c r="E14" s="1"/>
      <c r="F14" s="1"/>
    </row>
    <row r="15" spans="1:6" x14ac:dyDescent="0.25">
      <c r="A15" s="1"/>
      <c r="B15" s="59" t="s">
        <v>206</v>
      </c>
      <c r="C15" s="12">
        <f>C14*(1+'Fane 12. Nøgletal'!C14)^2</f>
        <v>10127414.814950829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8fsf6666qbPUswUETNCvjf2Uo9Cq0/5vVXQ3sSjSV4OIbDJAp+3ye1EaoJ69izyzU12yKBtC5I6UVMzD6ZytBw==" saltValue="/RUKWKRutsjnO+XrOXy8J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8" width="9.85546875" style="2" bestFit="1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8" t="s">
        <v>221</v>
      </c>
      <c r="C3" s="98"/>
      <c r="D3" s="98"/>
      <c r="E3" s="98"/>
      <c r="F3" s="98"/>
      <c r="G3" s="1"/>
    </row>
    <row r="4" spans="1:7" ht="15" customHeight="1" x14ac:dyDescent="0.25">
      <c r="A4" s="1"/>
      <c r="B4" s="98"/>
      <c r="C4" s="98"/>
      <c r="D4" s="98"/>
      <c r="E4" s="98"/>
      <c r="F4" s="98"/>
      <c r="G4" s="1"/>
    </row>
    <row r="5" spans="1:7" ht="15" customHeight="1" x14ac:dyDescent="0.25">
      <c r="A5" s="1"/>
      <c r="B5" s="54"/>
      <c r="C5" s="54"/>
      <c r="D5" s="54"/>
      <c r="E5" s="54"/>
      <c r="F5" s="54"/>
      <c r="G5" s="1"/>
    </row>
    <row r="6" spans="1:7" ht="15" customHeight="1" x14ac:dyDescent="0.25">
      <c r="A6" s="1"/>
      <c r="B6" s="54"/>
      <c r="C6" s="54"/>
      <c r="D6" s="54"/>
      <c r="E6" s="54"/>
      <c r="F6" s="54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235</v>
      </c>
      <c r="C8" s="114"/>
      <c r="D8" s="114"/>
      <c r="E8" s="114"/>
      <c r="F8" s="115"/>
      <c r="G8" s="1"/>
    </row>
    <row r="9" spans="1:7" x14ac:dyDescent="0.25">
      <c r="A9" s="1"/>
      <c r="B9" s="116" t="s">
        <v>236</v>
      </c>
      <c r="C9" s="117"/>
      <c r="D9" s="118"/>
      <c r="E9" s="9">
        <v>2806302.6685394384</v>
      </c>
      <c r="F9" s="14" t="s">
        <v>3</v>
      </c>
      <c r="G9" s="1"/>
    </row>
    <row r="10" spans="1:7" x14ac:dyDescent="0.25">
      <c r="A10" s="1"/>
      <c r="B10" s="116" t="s">
        <v>237</v>
      </c>
      <c r="C10" s="117"/>
      <c r="D10" s="118"/>
      <c r="E10" s="9">
        <v>-4899628.536825899</v>
      </c>
      <c r="F10" s="14" t="s">
        <v>3</v>
      </c>
      <c r="G10" s="1"/>
    </row>
    <row r="11" spans="1:7" x14ac:dyDescent="0.25">
      <c r="A11" s="1"/>
      <c r="B11" s="116" t="s">
        <v>238</v>
      </c>
      <c r="C11" s="117"/>
      <c r="D11" s="118"/>
      <c r="E11" s="9">
        <v>-471923.53489582986</v>
      </c>
      <c r="F11" s="14" t="s">
        <v>3</v>
      </c>
      <c r="G11" s="1"/>
    </row>
    <row r="12" spans="1:7" x14ac:dyDescent="0.25">
      <c r="A12" s="1"/>
      <c r="B12" s="116" t="s">
        <v>239</v>
      </c>
      <c r="C12" s="117"/>
      <c r="D12" s="118"/>
      <c r="E12" s="9">
        <f>IF(OR(AND(E10&gt;0,E11&lt;0),AND(E11&lt;0,E34&gt;0)),E17+E18,E11)</f>
        <v>-471923.53489582986</v>
      </c>
      <c r="F12" s="14" t="s">
        <v>3</v>
      </c>
      <c r="G12" s="1"/>
    </row>
    <row r="13" spans="1:7" x14ac:dyDescent="0.25">
      <c r="A13" s="1"/>
      <c r="B13" s="59"/>
      <c r="C13" s="60"/>
      <c r="D13" s="60"/>
      <c r="E13" s="60"/>
      <c r="F13" s="20"/>
      <c r="G13" s="1"/>
    </row>
    <row r="14" spans="1:7" ht="54.75" customHeight="1" x14ac:dyDescent="0.25">
      <c r="A14" s="1"/>
      <c r="B14" s="102" t="s">
        <v>240</v>
      </c>
      <c r="C14" s="103"/>
      <c r="D14" s="103"/>
      <c r="E14" s="103"/>
      <c r="F14" s="104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3" t="s">
        <v>241</v>
      </c>
      <c r="C16" s="114"/>
      <c r="D16" s="114"/>
      <c r="E16" s="114"/>
      <c r="F16" s="115"/>
      <c r="G16" s="1"/>
    </row>
    <row r="17" spans="1:8" x14ac:dyDescent="0.25">
      <c r="A17" s="1"/>
      <c r="B17" s="116" t="s">
        <v>242</v>
      </c>
      <c r="C17" s="117"/>
      <c r="D17" s="118"/>
      <c r="E17" s="9">
        <v>-1282624.9341432303</v>
      </c>
      <c r="F17" s="14" t="s">
        <v>3</v>
      </c>
      <c r="G17" s="1"/>
      <c r="H17" s="50"/>
    </row>
    <row r="18" spans="1:8" x14ac:dyDescent="0.25">
      <c r="A18" s="1"/>
      <c r="B18" s="116" t="s">
        <v>243</v>
      </c>
      <c r="C18" s="117"/>
      <c r="D18" s="118"/>
      <c r="E18" s="9">
        <v>-1282624.9341432303</v>
      </c>
      <c r="F18" s="14" t="s">
        <v>3</v>
      </c>
      <c r="G18" s="1"/>
    </row>
    <row r="19" spans="1:8" x14ac:dyDescent="0.25">
      <c r="A19" s="1"/>
      <c r="B19" s="59"/>
      <c r="C19" s="60"/>
      <c r="D19" s="60"/>
      <c r="E19" s="60"/>
      <c r="F19" s="20"/>
      <c r="G19" s="1"/>
    </row>
    <row r="20" spans="1:8" ht="30" customHeight="1" x14ac:dyDescent="0.25">
      <c r="A20" s="1"/>
      <c r="B20" s="102" t="s">
        <v>244</v>
      </c>
      <c r="C20" s="103"/>
      <c r="D20" s="103"/>
      <c r="E20" s="103"/>
      <c r="F20" s="104"/>
      <c r="G20" s="1"/>
    </row>
    <row r="21" spans="1:8" ht="28.5" customHeight="1" x14ac:dyDescent="0.25">
      <c r="A21" s="1"/>
      <c r="B21" s="1"/>
      <c r="C21" s="1"/>
      <c r="D21" s="1"/>
      <c r="E21" s="1"/>
      <c r="F21" s="1"/>
      <c r="G21" s="1"/>
    </row>
    <row r="22" spans="1:8" x14ac:dyDescent="0.25">
      <c r="A22" s="1"/>
      <c r="B22" s="61" t="s">
        <v>207</v>
      </c>
      <c r="C22" s="62"/>
      <c r="D22" s="62"/>
      <c r="E22" s="62"/>
      <c r="F22" s="63"/>
      <c r="G22" s="1"/>
    </row>
    <row r="23" spans="1:8" x14ac:dyDescent="0.25">
      <c r="A23" s="1"/>
      <c r="B23" s="64" t="s">
        <v>208</v>
      </c>
      <c r="C23" s="65"/>
      <c r="D23" s="66"/>
      <c r="E23" s="9">
        <v>32099303.869209439</v>
      </c>
      <c r="F23" s="14" t="s">
        <v>3</v>
      </c>
      <c r="G23" s="1"/>
    </row>
    <row r="24" spans="1:8" x14ac:dyDescent="0.25">
      <c r="A24" s="1"/>
      <c r="B24" s="64" t="s">
        <v>209</v>
      </c>
      <c r="C24" s="65"/>
      <c r="D24" s="66"/>
      <c r="E24" s="9">
        <v>27608686</v>
      </c>
      <c r="F24" s="14" t="s">
        <v>3</v>
      </c>
      <c r="G24" s="1"/>
    </row>
    <row r="25" spans="1:8" x14ac:dyDescent="0.25">
      <c r="A25" s="1"/>
      <c r="B25" s="64" t="s">
        <v>34</v>
      </c>
      <c r="C25" s="65"/>
      <c r="D25" s="66"/>
      <c r="E25" s="9">
        <v>0</v>
      </c>
      <c r="F25" s="14" t="s">
        <v>3</v>
      </c>
      <c r="G25" s="1"/>
    </row>
    <row r="26" spans="1:8" x14ac:dyDescent="0.25">
      <c r="A26" s="1"/>
      <c r="B26" s="68" t="s">
        <v>251</v>
      </c>
      <c r="C26" s="69"/>
      <c r="D26" s="70"/>
      <c r="E26" s="45">
        <f>E23-(E24-E25)</f>
        <v>4490617.8692094386</v>
      </c>
      <c r="F26" s="17" t="s">
        <v>3</v>
      </c>
      <c r="G26" s="1"/>
    </row>
    <row r="27" spans="1:8" x14ac:dyDescent="0.25">
      <c r="A27" s="1"/>
      <c r="B27" s="59"/>
      <c r="C27" s="60"/>
      <c r="D27" s="60"/>
      <c r="E27" s="60"/>
      <c r="F27" s="20"/>
      <c r="G27" s="1"/>
    </row>
    <row r="28" spans="1:8" x14ac:dyDescent="0.25">
      <c r="A28" s="1"/>
      <c r="B28" s="1"/>
      <c r="C28" s="1"/>
      <c r="D28" s="1"/>
      <c r="E28" s="1"/>
      <c r="F28" s="1"/>
      <c r="G28" s="1"/>
    </row>
    <row r="29" spans="1:8" x14ac:dyDescent="0.25">
      <c r="A29" s="1"/>
      <c r="B29" s="113" t="s">
        <v>245</v>
      </c>
      <c r="C29" s="114"/>
      <c r="D29" s="114"/>
      <c r="E29" s="114"/>
      <c r="F29" s="115"/>
      <c r="G29" s="1"/>
    </row>
    <row r="30" spans="1:8" x14ac:dyDescent="0.25">
      <c r="A30" s="1"/>
      <c r="B30" s="137" t="s">
        <v>246</v>
      </c>
      <c r="C30" s="138"/>
      <c r="D30" s="139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(E17+ABS(E12))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-810701.39924740046</v>
      </c>
      <c r="F30" s="17" t="s">
        <v>3</v>
      </c>
      <c r="G30" s="1"/>
    </row>
    <row r="31" spans="1:8" x14ac:dyDescent="0.25">
      <c r="A31" s="1"/>
      <c r="B31" s="113"/>
      <c r="C31" s="114"/>
      <c r="D31" s="114"/>
      <c r="E31" s="114"/>
      <c r="F31" s="115"/>
      <c r="G31" s="1"/>
    </row>
    <row r="32" spans="1:8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3" t="s">
        <v>247</v>
      </c>
      <c r="C33" s="114"/>
      <c r="D33" s="114"/>
      <c r="E33" s="114"/>
      <c r="F33" s="115"/>
      <c r="G33" s="1"/>
    </row>
    <row r="34" spans="1:7" x14ac:dyDescent="0.25">
      <c r="A34" s="1"/>
      <c r="B34" s="134" t="s">
        <v>252</v>
      </c>
      <c r="C34" s="135"/>
      <c r="D34" s="136"/>
      <c r="E34" s="9">
        <v>0</v>
      </c>
      <c r="F34" s="14"/>
      <c r="G34" s="1"/>
    </row>
    <row r="35" spans="1:7" x14ac:dyDescent="0.25">
      <c r="A35" s="1"/>
      <c r="B35" s="134" t="s">
        <v>161</v>
      </c>
      <c r="C35" s="135"/>
      <c r="D35" s="136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4" t="s">
        <v>110</v>
      </c>
      <c r="C36" s="135"/>
      <c r="D36" s="136"/>
      <c r="E36" s="9">
        <v>4</v>
      </c>
      <c r="F36" s="14" t="s">
        <v>19</v>
      </c>
      <c r="G36" s="1"/>
    </row>
    <row r="37" spans="1:7" x14ac:dyDescent="0.25">
      <c r="A37" s="1"/>
      <c r="B37" s="140" t="s">
        <v>160</v>
      </c>
      <c r="C37" s="140"/>
      <c r="D37" s="140"/>
      <c r="E37" s="10">
        <f>E35/E36</f>
        <v>0</v>
      </c>
      <c r="F37" s="17" t="s">
        <v>3</v>
      </c>
      <c r="G37" s="1"/>
    </row>
    <row r="38" spans="1:7" x14ac:dyDescent="0.25">
      <c r="A38" s="1"/>
      <c r="B38" s="131"/>
      <c r="C38" s="132"/>
      <c r="D38" s="132"/>
      <c r="E38" s="132"/>
      <c r="F38" s="133"/>
      <c r="G38" s="1"/>
    </row>
    <row r="39" spans="1:7" ht="75" customHeight="1" x14ac:dyDescent="0.25">
      <c r="A39" s="1"/>
      <c r="B39" s="102" t="s">
        <v>250</v>
      </c>
      <c r="C39" s="103"/>
      <c r="D39" s="103"/>
      <c r="E39" s="103"/>
      <c r="F39" s="104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sbopKWoUQ5U4gS/Z9uGK8KImvc5FSUbfJb9zOu94gTE5Z5sMVp4anW2srNQOAgyAu01vGhAO0C5h0bI2nm6UTw==" saltValue="TNEkQh1/YTeHCmuSpd3srw==" spinCount="100000" sheet="1" objects="1" scenarios="1"/>
  <mergeCells count="21">
    <mergeCell ref="B30:D30"/>
    <mergeCell ref="B37:D37"/>
    <mergeCell ref="B3:F4"/>
    <mergeCell ref="B17:D17"/>
    <mergeCell ref="B9:D9"/>
    <mergeCell ref="B38:F38"/>
    <mergeCell ref="B39:F39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  <mergeCell ref="B29:F2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169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3" t="s">
        <v>157</v>
      </c>
      <c r="C8" s="114"/>
      <c r="D8" s="114"/>
      <c r="E8" s="114"/>
      <c r="F8" s="114"/>
      <c r="G8" s="114"/>
      <c r="H8" s="115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3"/>
      <c r="I9" s="1"/>
    </row>
    <row r="10" spans="1:9" x14ac:dyDescent="0.25">
      <c r="A10" s="1"/>
      <c r="B10" s="47" t="s">
        <v>253</v>
      </c>
      <c r="C10" s="48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3" t="s">
        <v>158</v>
      </c>
      <c r="C11" s="114"/>
      <c r="D11" s="11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5q2L+O/92iGmaefdDDKDT2Qgs4TszTv2OrR9KirQRwVQFsCwhRgvDAaLbTuKy03cJ2AtqBrlQrJmk9ud9PwsBw==" saltValue="uN+NqYvO+pcqa7Xfd0KB/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168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9" t="s">
        <v>84</v>
      </c>
      <c r="C8" s="60"/>
      <c r="D8" s="60"/>
      <c r="E8" s="60"/>
      <c r="F8" s="20"/>
      <c r="G8" s="1"/>
    </row>
    <row r="9" spans="1:7" ht="17.25" customHeight="1" x14ac:dyDescent="0.25">
      <c r="A9" s="1"/>
      <c r="B9" s="57" t="s">
        <v>16</v>
      </c>
      <c r="C9" s="57" t="s">
        <v>11</v>
      </c>
      <c r="D9" s="58"/>
      <c r="E9" s="57" t="s">
        <v>32</v>
      </c>
      <c r="F9" s="53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227</v>
      </c>
      <c r="C11" s="22">
        <v>55357</v>
      </c>
      <c r="D11" s="14" t="s">
        <v>3</v>
      </c>
      <c r="E11" s="9">
        <v>1215051</v>
      </c>
      <c r="F11" s="14" t="s">
        <v>3</v>
      </c>
      <c r="G11" s="1"/>
    </row>
    <row r="12" spans="1:7" x14ac:dyDescent="0.25">
      <c r="A12" s="1"/>
      <c r="B12" s="59" t="s">
        <v>136</v>
      </c>
      <c r="C12" s="12">
        <f>SUM(C10:C11)</f>
        <v>55357</v>
      </c>
      <c r="D12" s="13" t="s">
        <v>3</v>
      </c>
      <c r="E12" s="12">
        <f>SUM(E10:E11)</f>
        <v>1215051</v>
      </c>
      <c r="F12" s="13" t="s">
        <v>3</v>
      </c>
      <c r="G12" s="1"/>
    </row>
    <row r="13" spans="1:7" x14ac:dyDescent="0.25">
      <c r="A13" s="1"/>
      <c r="B13" s="59" t="s">
        <v>210</v>
      </c>
      <c r="C13" s="12">
        <f>C12*(1+'Fane 12. Nøgletal'!C14)</f>
        <v>55539.678100000005</v>
      </c>
      <c r="D13" s="13" t="s">
        <v>3</v>
      </c>
      <c r="E13" s="12">
        <f>E12*(1+'Fane 12. Nøgletal'!C14)</f>
        <v>1219060.6683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u2lrLhKyv4l9puLm4J6t8BS8PzSSURUErA6kDaMxawXfLJ38f+fvBZQ/YIaEQuchsvEh5B2ljVXV9knrwFZXOg==" saltValue="1e/bMfU3G5lEpWlPfIMij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167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102</v>
      </c>
      <c r="C8" s="114"/>
      <c r="D8" s="114"/>
      <c r="E8" s="114"/>
      <c r="F8" s="115"/>
      <c r="G8" s="1"/>
    </row>
    <row r="9" spans="1:7" x14ac:dyDescent="0.25">
      <c r="A9" s="1"/>
      <c r="B9" s="57" t="s">
        <v>16</v>
      </c>
      <c r="C9" s="57" t="s">
        <v>11</v>
      </c>
      <c r="D9" s="58"/>
      <c r="E9" s="57" t="s">
        <v>32</v>
      </c>
      <c r="F9" s="53"/>
      <c r="G9" s="1"/>
    </row>
    <row r="10" spans="1:7" x14ac:dyDescent="0.25">
      <c r="A10" s="1"/>
      <c r="B10" s="25" t="s">
        <v>233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9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9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3" t="s">
        <v>103</v>
      </c>
      <c r="C16" s="114"/>
      <c r="D16" s="114"/>
      <c r="E16" s="114"/>
      <c r="F16" s="115"/>
      <c r="G16" s="1"/>
    </row>
    <row r="17" spans="1:7" x14ac:dyDescent="0.25">
      <c r="A17" s="1"/>
      <c r="B17" s="57" t="s">
        <v>16</v>
      </c>
      <c r="C17" s="57" t="s">
        <v>11</v>
      </c>
      <c r="D17" s="58"/>
      <c r="E17" s="57" t="s">
        <v>32</v>
      </c>
      <c r="F17" s="53"/>
      <c r="G17" s="1"/>
    </row>
    <row r="18" spans="1:7" x14ac:dyDescent="0.25">
      <c r="A18" s="1"/>
      <c r="B18" s="25" t="s">
        <v>233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9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9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3" t="s">
        <v>138</v>
      </c>
      <c r="C24" s="114"/>
      <c r="D24" s="114"/>
      <c r="E24" s="114"/>
      <c r="F24" s="115"/>
      <c r="G24" s="1"/>
    </row>
    <row r="25" spans="1:7" x14ac:dyDescent="0.25">
      <c r="A25" s="1"/>
      <c r="B25" s="57" t="s">
        <v>16</v>
      </c>
      <c r="C25" s="57" t="s">
        <v>11</v>
      </c>
      <c r="D25" s="58"/>
      <c r="E25" s="57" t="s">
        <v>32</v>
      </c>
      <c r="F25" s="53"/>
      <c r="G25" s="1"/>
    </row>
    <row r="26" spans="1:7" x14ac:dyDescent="0.25">
      <c r="A26" s="1"/>
      <c r="B26" s="25" t="s">
        <v>233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9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9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3" t="s">
        <v>212</v>
      </c>
      <c r="C32" s="114"/>
      <c r="D32" s="114"/>
      <c r="E32" s="114"/>
      <c r="F32" s="115"/>
      <c r="G32" s="1"/>
    </row>
    <row r="33" spans="1:7" x14ac:dyDescent="0.25">
      <c r="A33" s="1"/>
      <c r="B33" s="57" t="s">
        <v>16</v>
      </c>
      <c r="C33" s="57" t="s">
        <v>11</v>
      </c>
      <c r="D33" s="58"/>
      <c r="E33" s="57" t="s">
        <v>32</v>
      </c>
      <c r="F33" s="53"/>
      <c r="G33" s="1"/>
    </row>
    <row r="34" spans="1:7" x14ac:dyDescent="0.25">
      <c r="A34" s="1"/>
      <c r="B34" s="25" t="s">
        <v>233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9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9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Xw1nRqHN0I1READmj/FQeTg7i5gxYPluVNjWzDRwOW6HSBQ93ttomwTMeSZzvyVUHf/ZDRT28XBBegg7RLidFQ==" saltValue="r5np3iMg6nFreyvcGk8mv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8" t="s">
        <v>166</v>
      </c>
      <c r="C3" s="98"/>
      <c r="D3" s="98"/>
      <c r="E3" s="98"/>
      <c r="F3" s="98"/>
      <c r="G3" s="1"/>
    </row>
    <row r="4" spans="1:7" ht="25.5" customHeight="1" x14ac:dyDescent="0.25">
      <c r="A4" s="1"/>
      <c r="B4" s="98"/>
      <c r="C4" s="98"/>
      <c r="D4" s="98"/>
      <c r="E4" s="98"/>
      <c r="F4" s="9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130</v>
      </c>
      <c r="C8" s="114"/>
      <c r="D8" s="114"/>
      <c r="E8" s="114"/>
      <c r="F8" s="115"/>
      <c r="G8" s="1"/>
    </row>
    <row r="9" spans="1:7" ht="15" customHeight="1" x14ac:dyDescent="0.25">
      <c r="A9" s="1"/>
      <c r="B9" s="52" t="s">
        <v>131</v>
      </c>
      <c r="C9" s="108" t="s">
        <v>11</v>
      </c>
      <c r="D9" s="110"/>
      <c r="E9" s="108" t="s">
        <v>32</v>
      </c>
      <c r="F9" s="110"/>
      <c r="G9" s="1"/>
    </row>
    <row r="10" spans="1:7" x14ac:dyDescent="0.25">
      <c r="A10" s="1"/>
      <c r="B10" s="25" t="s">
        <v>228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xwU99i3LdsIV6SXGbFbsSSgYyacRYSliH2oHvXhVAwIuqvZ7NiXK4q0vDmZxAMGS/X1PX/DppBp5Ema92hyyMg==" saltValue="fuHmSvZkZb7MQpZUrx+RF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8" t="s">
        <v>165</v>
      </c>
      <c r="C3" s="98"/>
      <c r="D3" s="98"/>
      <c r="E3" s="98"/>
      <c r="F3" s="98"/>
      <c r="G3" s="1"/>
    </row>
    <row r="4" spans="1:7" ht="25.5" customHeight="1" x14ac:dyDescent="0.25">
      <c r="A4" s="1"/>
      <c r="B4" s="98"/>
      <c r="C4" s="98"/>
      <c r="D4" s="98"/>
      <c r="E4" s="98"/>
      <c r="F4" s="9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98</v>
      </c>
      <c r="C8" s="114"/>
      <c r="D8" s="114"/>
      <c r="E8" s="114"/>
      <c r="F8" s="115"/>
      <c r="G8" s="1"/>
    </row>
    <row r="9" spans="1:7" ht="15" customHeight="1" x14ac:dyDescent="0.25">
      <c r="A9" s="1"/>
      <c r="B9" s="52" t="s">
        <v>17</v>
      </c>
      <c r="C9" s="52" t="s">
        <v>11</v>
      </c>
      <c r="D9" s="53"/>
      <c r="E9" s="52" t="s">
        <v>32</v>
      </c>
      <c r="F9" s="53"/>
      <c r="G9" s="1"/>
    </row>
    <row r="10" spans="1:7" x14ac:dyDescent="0.25">
      <c r="A10" s="1"/>
      <c r="B10" s="25" t="s">
        <v>234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9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9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3" t="s">
        <v>99</v>
      </c>
      <c r="C15" s="114"/>
      <c r="D15" s="114"/>
      <c r="E15" s="114"/>
      <c r="F15" s="115"/>
      <c r="G15" s="1"/>
    </row>
    <row r="16" spans="1:7" ht="26.25" x14ac:dyDescent="0.25">
      <c r="A16" s="1"/>
      <c r="B16" s="52" t="s">
        <v>17</v>
      </c>
      <c r="C16" s="52" t="s">
        <v>11</v>
      </c>
      <c r="D16" s="53"/>
      <c r="E16" s="52" t="s">
        <v>32</v>
      </c>
      <c r="F16" s="53"/>
      <c r="G16" s="1"/>
    </row>
    <row r="17" spans="1:7" x14ac:dyDescent="0.25">
      <c r="A17" s="1"/>
      <c r="B17" s="25" t="s">
        <v>234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9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9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3" t="s">
        <v>142</v>
      </c>
      <c r="C22" s="114"/>
      <c r="D22" s="114"/>
      <c r="E22" s="114"/>
      <c r="F22" s="115"/>
      <c r="G22" s="1"/>
    </row>
    <row r="23" spans="1:7" ht="26.25" x14ac:dyDescent="0.25">
      <c r="A23" s="1"/>
      <c r="B23" s="52" t="s">
        <v>17</v>
      </c>
      <c r="C23" s="52" t="s">
        <v>11</v>
      </c>
      <c r="D23" s="53"/>
      <c r="E23" s="52" t="s">
        <v>32</v>
      </c>
      <c r="F23" s="53"/>
      <c r="G23" s="1"/>
    </row>
    <row r="24" spans="1:7" x14ac:dyDescent="0.25">
      <c r="A24" s="1"/>
      <c r="B24" s="25" t="s">
        <v>234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9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9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3" t="s">
        <v>215</v>
      </c>
      <c r="C29" s="114"/>
      <c r="D29" s="114"/>
      <c r="E29" s="114"/>
      <c r="F29" s="115"/>
      <c r="G29" s="1"/>
    </row>
    <row r="30" spans="1:7" ht="26.25" x14ac:dyDescent="0.25">
      <c r="A30" s="1"/>
      <c r="B30" s="52" t="s">
        <v>17</v>
      </c>
      <c r="C30" s="52" t="s">
        <v>11</v>
      </c>
      <c r="D30" s="53"/>
      <c r="E30" s="52" t="s">
        <v>32</v>
      </c>
      <c r="F30" s="53"/>
      <c r="G30" s="1"/>
    </row>
    <row r="31" spans="1:7" x14ac:dyDescent="0.25">
      <c r="A31" s="1"/>
      <c r="B31" s="25" t="s">
        <v>234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9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9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5YqIjXBH7KEQs8RB9vBeHqgfk1eLdDhs+FjShencE9/dOocxX2Rmn9kKtFR66CGpOSB47ILu0H5EnCUuEsndwA==" saltValue="LO9MMnytorY+D0eJpwWVf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8" t="s">
        <v>164</v>
      </c>
      <c r="C3" s="98"/>
      <c r="D3" s="1"/>
    </row>
    <row r="4" spans="1:4" ht="25.5" customHeight="1" x14ac:dyDescent="0.25">
      <c r="A4" s="1"/>
      <c r="B4" s="98"/>
      <c r="C4" s="9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9" t="s">
        <v>14</v>
      </c>
      <c r="C8" s="20"/>
      <c r="D8" s="1"/>
    </row>
    <row r="9" spans="1:4" x14ac:dyDescent="0.25">
      <c r="A9" s="1"/>
      <c r="B9" s="67" t="s">
        <v>118</v>
      </c>
      <c r="C9" s="26">
        <v>1.2699999999999999E-2</v>
      </c>
      <c r="D9" s="1"/>
    </row>
    <row r="10" spans="1:4" x14ac:dyDescent="0.25">
      <c r="A10" s="1"/>
      <c r="B10" s="67" t="s">
        <v>22</v>
      </c>
      <c r="C10" s="26">
        <v>1.7500000000000002E-2</v>
      </c>
      <c r="D10" s="1"/>
    </row>
    <row r="11" spans="1:4" x14ac:dyDescent="0.25">
      <c r="A11" s="1"/>
      <c r="B11" s="67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49">
        <v>3.3E-3</v>
      </c>
      <c r="D14" s="1"/>
    </row>
    <row r="15" spans="1:4" x14ac:dyDescent="0.25">
      <c r="A15" s="1"/>
      <c r="B15" s="113"/>
      <c r="C15" s="115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9" t="s">
        <v>106</v>
      </c>
      <c r="C18" s="20"/>
      <c r="D18" s="1"/>
    </row>
    <row r="19" spans="1:4" x14ac:dyDescent="0.25">
      <c r="A19" s="1"/>
      <c r="B19" s="67" t="s">
        <v>120</v>
      </c>
      <c r="C19" s="23">
        <v>9.1000000000000004E-3</v>
      </c>
      <c r="D19" s="1"/>
    </row>
    <row r="20" spans="1:4" x14ac:dyDescent="0.25">
      <c r="A20" s="1"/>
      <c r="B20" s="67" t="s">
        <v>121</v>
      </c>
      <c r="C20" s="23">
        <v>1.77E-2</v>
      </c>
      <c r="D20" s="1"/>
    </row>
    <row r="21" spans="1:4" x14ac:dyDescent="0.25">
      <c r="A21" s="1"/>
      <c r="B21" s="67" t="s">
        <v>122</v>
      </c>
      <c r="C21" s="23">
        <v>8.6999999999999994E-3</v>
      </c>
      <c r="D21" s="1"/>
    </row>
    <row r="22" spans="1:4" x14ac:dyDescent="0.25">
      <c r="A22" s="1"/>
      <c r="B22" s="67" t="s">
        <v>123</v>
      </c>
      <c r="C22" s="35">
        <v>2.8400000000000002E-2</v>
      </c>
      <c r="D22" s="1"/>
    </row>
    <row r="23" spans="1:4" x14ac:dyDescent="0.25">
      <c r="A23" s="1"/>
      <c r="B23" s="67" t="s">
        <v>146</v>
      </c>
      <c r="C23" s="35">
        <v>2.75E-2</v>
      </c>
      <c r="D23" s="1"/>
    </row>
    <row r="24" spans="1:4" x14ac:dyDescent="0.25">
      <c r="A24" s="1"/>
      <c r="B24" s="67" t="s">
        <v>218</v>
      </c>
      <c r="C24" s="35">
        <v>1.4800000000000001E-2</v>
      </c>
      <c r="D24" s="1"/>
    </row>
    <row r="25" spans="1:4" x14ac:dyDescent="0.25">
      <c r="A25" s="1"/>
      <c r="B25" s="59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9" t="s">
        <v>107</v>
      </c>
      <c r="C28" s="20"/>
      <c r="D28" s="1"/>
    </row>
    <row r="29" spans="1:4" x14ac:dyDescent="0.25">
      <c r="A29" s="1"/>
      <c r="B29" s="67" t="s">
        <v>124</v>
      </c>
      <c r="C29" s="26">
        <v>0.02</v>
      </c>
      <c r="D29" s="1"/>
    </row>
    <row r="30" spans="1:4" x14ac:dyDescent="0.25">
      <c r="A30" s="1"/>
      <c r="B30" s="59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XDPUAmIxUJwTFQhTDcRblLX+6sL/xw6XRsDNyTyRzUrH9a2FwRIg/zoObdkkdLm0WBozCHP+lrfe+xPpsh3ytA==" saltValue="v4yekHfnDSDvbSO0BSpC/w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184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9" t="s">
        <v>13</v>
      </c>
      <c r="C8" s="60"/>
      <c r="D8" s="20"/>
      <c r="E8" s="1"/>
    </row>
    <row r="9" spans="1:5" x14ac:dyDescent="0.25">
      <c r="A9" s="1"/>
      <c r="B9" s="55" t="s">
        <v>24</v>
      </c>
      <c r="C9" s="7">
        <f>'Fane 3. Omkostninger i ØR2021'!E20</f>
        <v>20905047.609440833</v>
      </c>
      <c r="D9" s="8" t="s">
        <v>3</v>
      </c>
      <c r="E9" s="1"/>
    </row>
    <row r="10" spans="1:5" x14ac:dyDescent="0.25">
      <c r="A10" s="1"/>
      <c r="B10" s="51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51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1087153.8994295723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55539.678100000005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1219060.6683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259247.76197829816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-448777.91435638262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-197199.56742398115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-382823.11030859663</v>
      </c>
      <c r="D21" s="8" t="s">
        <v>3</v>
      </c>
      <c r="E21" s="1"/>
    </row>
    <row r="22" spans="1:5" ht="17.100000000000001" customHeight="1" x14ac:dyDescent="0.25">
      <c r="A22" s="1"/>
      <c r="B22" s="68" t="s">
        <v>20</v>
      </c>
      <c r="C22" s="10">
        <f>SUM(C9,C12:C21)</f>
        <v>21410095.125730172</v>
      </c>
      <c r="D22" s="11" t="s">
        <v>3</v>
      </c>
      <c r="E22" s="1"/>
    </row>
    <row r="23" spans="1:5" ht="15" customHeight="1" x14ac:dyDescent="0.25">
      <c r="A23" s="1"/>
      <c r="B23" s="59" t="s">
        <v>12</v>
      </c>
      <c r="C23" s="60"/>
      <c r="D23" s="20"/>
      <c r="E23" s="1"/>
    </row>
    <row r="24" spans="1:5" ht="15" customHeight="1" x14ac:dyDescent="0.25">
      <c r="A24" s="1"/>
      <c r="B24" s="52" t="s">
        <v>12</v>
      </c>
      <c r="C24" s="10">
        <f>'Fane 6. Ikke-påvirkelige omk.'!C15</f>
        <v>10127414.814950829</v>
      </c>
      <c r="D24" s="11" t="s">
        <v>3</v>
      </c>
      <c r="E24" s="1"/>
    </row>
    <row r="25" spans="1:5" ht="15" customHeight="1" x14ac:dyDescent="0.25">
      <c r="A25" s="1"/>
      <c r="B25" s="59" t="s">
        <v>89</v>
      </c>
      <c r="C25" s="60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8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60"/>
      <c r="D29" s="20"/>
      <c r="E29" s="1"/>
    </row>
    <row r="30" spans="1:5" x14ac:dyDescent="0.25">
      <c r="A30" s="1"/>
      <c r="B30" s="71" t="s">
        <v>162</v>
      </c>
      <c r="C30" s="10">
        <f>'Fane 7. Kontrol af ØR2020'!E30</f>
        <v>-810701.39924740046</v>
      </c>
      <c r="D30" s="11" t="s">
        <v>3</v>
      </c>
      <c r="E30" s="1"/>
    </row>
    <row r="31" spans="1:5" x14ac:dyDescent="0.25">
      <c r="A31" s="1"/>
      <c r="B31" s="36" t="s">
        <v>225</v>
      </c>
      <c r="C31" s="60"/>
      <c r="D31" s="20"/>
      <c r="E31" s="1"/>
    </row>
    <row r="32" spans="1:5" x14ac:dyDescent="0.25">
      <c r="A32" s="1"/>
      <c r="B32" s="71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9" t="s">
        <v>30</v>
      </c>
      <c r="C33" s="31">
        <f>SUM(C22,C24,C28,C30,C32)</f>
        <v>30726808.541433603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RlbHRaueL8lP3UICFr3MVT/nmcc5nuWEkI43fYnPGQfniYFch6EspvCEOHAxcgKiPOyr1GeCpaf9gEQeX5yZvQ==" saltValue="wNTC1zn/qsaTUlpqgXm5+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185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9" t="s">
        <v>13</v>
      </c>
      <c r="C8" s="60"/>
      <c r="D8" s="20"/>
      <c r="E8" s="1"/>
    </row>
    <row r="9" spans="1:5" ht="15" customHeight="1" x14ac:dyDescent="0.25">
      <c r="A9" s="1"/>
      <c r="B9" s="55" t="s">
        <v>134</v>
      </c>
      <c r="C9" s="7">
        <f>'Fane 2.1. Økonomisk ramme 2022'!C22</f>
        <v>21410095.125730172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51" t="s">
        <v>18</v>
      </c>
      <c r="C12" s="9">
        <f>SUM(C9:C11)*'Fane 12. Nøgletal'!C14</f>
        <v>70653.313914909566</v>
      </c>
      <c r="D12" s="8" t="s">
        <v>3</v>
      </c>
      <c r="E12" s="1"/>
    </row>
    <row r="13" spans="1:5" ht="15" customHeight="1" x14ac:dyDescent="0.25">
      <c r="A13" s="1"/>
      <c r="B13" s="51" t="s">
        <v>9</v>
      </c>
      <c r="C13" s="9">
        <f>-SUM(C9:C12)*'Fane 5. Individuelt eff. krav'!G10</f>
        <v>-429614.96879290167</v>
      </c>
      <c r="D13" s="8" t="s">
        <v>3</v>
      </c>
      <c r="E13" s="1"/>
    </row>
    <row r="14" spans="1:5" ht="15" customHeight="1" x14ac:dyDescent="0.25">
      <c r="A14" s="1"/>
      <c r="B14" s="51" t="s">
        <v>25</v>
      </c>
      <c r="C14" s="9">
        <f>-'Fane 4.1. Gen. krav - drift'!G44</f>
        <v>-193893.31947655068</v>
      </c>
      <c r="D14" s="8" t="s">
        <v>3</v>
      </c>
      <c r="E14" s="1"/>
    </row>
    <row r="15" spans="1:5" ht="15" customHeight="1" x14ac:dyDescent="0.25">
      <c r="A15" s="1"/>
      <c r="B15" s="51" t="s">
        <v>26</v>
      </c>
      <c r="C15" s="9">
        <f>-'Fane 4.2. Gen. krav - anlæg'!G44</f>
        <v>-209411.10417435603</v>
      </c>
      <c r="D15" s="8" t="s">
        <v>3</v>
      </c>
      <c r="E15" s="1"/>
    </row>
    <row r="16" spans="1:5" ht="15" customHeight="1" x14ac:dyDescent="0.25">
      <c r="A16" s="1"/>
      <c r="B16" s="56" t="s">
        <v>20</v>
      </c>
      <c r="C16" s="10">
        <f>SUM(C9:C15)</f>
        <v>20647829.047201272</v>
      </c>
      <c r="D16" s="11" t="s">
        <v>3</v>
      </c>
      <c r="E16" s="1"/>
    </row>
    <row r="17" spans="1:5" x14ac:dyDescent="0.25">
      <c r="A17" s="1"/>
      <c r="B17" s="59" t="s">
        <v>12</v>
      </c>
      <c r="C17" s="60"/>
      <c r="D17" s="20"/>
      <c r="E17" s="1"/>
    </row>
    <row r="18" spans="1:5" ht="15" customHeight="1" x14ac:dyDescent="0.25">
      <c r="A18" s="1"/>
      <c r="B18" s="52" t="s">
        <v>12</v>
      </c>
      <c r="C18" s="10">
        <f>'Fane 6. Ikke-påvirkelige omk.'!C15*(1+'Fane 12. Nøgletal'!C14)</f>
        <v>10160835.283840168</v>
      </c>
      <c r="D18" s="11" t="s">
        <v>3</v>
      </c>
      <c r="E18" s="1"/>
    </row>
    <row r="19" spans="1:5" ht="15" customHeight="1" x14ac:dyDescent="0.25">
      <c r="A19" s="1"/>
      <c r="B19" s="59" t="s">
        <v>89</v>
      </c>
      <c r="C19" s="60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8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60"/>
      <c r="D23" s="20"/>
      <c r="E23" s="1"/>
    </row>
    <row r="24" spans="1:5" ht="15" customHeight="1" x14ac:dyDescent="0.25">
      <c r="A24" s="1"/>
      <c r="B24" s="71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225</v>
      </c>
      <c r="C25" s="60"/>
      <c r="D25" s="20"/>
      <c r="E25" s="1"/>
    </row>
    <row r="26" spans="1:5" x14ac:dyDescent="0.25">
      <c r="A26" s="1"/>
      <c r="B26" s="71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9" t="s">
        <v>97</v>
      </c>
      <c r="C27" s="12">
        <f>SUM(C16,C18,C22,C24,C26)</f>
        <v>30808664.33104144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rAjzCN0wxJ0Q0KhhMgNhStXnPt45x5FthBY0Z6QnzhcfnVkLuOXB9PQ0nvUoNxnGdRKPkgM1HAUPGLYdspFzFw==" saltValue="h8N59Clipj8Ccgm7VVnIL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186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9" t="s">
        <v>13</v>
      </c>
      <c r="C7" s="60"/>
      <c r="D7" s="20"/>
      <c r="E7" s="1"/>
    </row>
    <row r="8" spans="1:5" ht="15" customHeight="1" x14ac:dyDescent="0.25">
      <c r="A8" s="1"/>
      <c r="B8" s="55" t="s">
        <v>135</v>
      </c>
      <c r="C8" s="7">
        <f>'Fane 2.2. Økonomisk ramme 2023'!C16</f>
        <v>20647829.047201272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51" t="s">
        <v>18</v>
      </c>
      <c r="C11" s="9">
        <f>SUM(C8:C10)*'Fane 12. Nøgletal'!C14</f>
        <v>68137.835855764191</v>
      </c>
      <c r="D11" s="8" t="s">
        <v>3</v>
      </c>
      <c r="E11" s="1"/>
    </row>
    <row r="12" spans="1:5" ht="15" customHeight="1" x14ac:dyDescent="0.25">
      <c r="A12" s="1"/>
      <c r="B12" s="51" t="s">
        <v>9</v>
      </c>
      <c r="C12" s="9">
        <f>-SUM(C8:C11)*'Fane 5. Individuelt eff. krav'!G10</f>
        <v>-414319.33766114071</v>
      </c>
      <c r="D12" s="8" t="s">
        <v>3</v>
      </c>
      <c r="E12" s="1"/>
    </row>
    <row r="13" spans="1:5" ht="15" customHeight="1" x14ac:dyDescent="0.25">
      <c r="A13" s="1"/>
      <c r="B13" s="51" t="s">
        <v>25</v>
      </c>
      <c r="C13" s="9">
        <f>-'Fane 4.1. Gen. krav - drift'!G50</f>
        <v>-190642.50408220684</v>
      </c>
      <c r="D13" s="8" t="s">
        <v>3</v>
      </c>
      <c r="E13" s="1"/>
    </row>
    <row r="14" spans="1:5" ht="15" customHeight="1" x14ac:dyDescent="0.25">
      <c r="A14" s="1"/>
      <c r="B14" s="51" t="s">
        <v>26</v>
      </c>
      <c r="C14" s="43">
        <f>-'Fane 4.2. Gen. krav - anlæg'!G50</f>
        <v>-206992.64883802307</v>
      </c>
      <c r="D14" s="8" t="s">
        <v>3</v>
      </c>
      <c r="E14" s="1"/>
    </row>
    <row r="15" spans="1:5" x14ac:dyDescent="0.25">
      <c r="A15" s="1"/>
      <c r="B15" s="56" t="s">
        <v>20</v>
      </c>
      <c r="C15" s="10">
        <f>SUM(C8:C14)</f>
        <v>19904012.392475665</v>
      </c>
      <c r="D15" s="11" t="s">
        <v>3</v>
      </c>
      <c r="E15" s="1"/>
    </row>
    <row r="16" spans="1:5" x14ac:dyDescent="0.25">
      <c r="A16" s="1"/>
      <c r="B16" s="59" t="s">
        <v>12</v>
      </c>
      <c r="C16" s="60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omk.'!C15*(1+'Fane 12. Nøgletal'!C14)^2</f>
        <v>10194366.04027684</v>
      </c>
      <c r="D17" s="11" t="s">
        <v>3</v>
      </c>
      <c r="E17" s="1"/>
    </row>
    <row r="18" spans="1:5" ht="15" customHeight="1" x14ac:dyDescent="0.25">
      <c r="A18" s="1"/>
      <c r="B18" s="59" t="s">
        <v>89</v>
      </c>
      <c r="C18" s="60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8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9" t="s">
        <v>161</v>
      </c>
      <c r="C22" s="60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60"/>
      <c r="D24" s="20"/>
      <c r="E24" s="1"/>
    </row>
    <row r="25" spans="1:5" ht="15" customHeight="1" x14ac:dyDescent="0.25">
      <c r="A25" s="1"/>
      <c r="B25" s="71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9" t="s">
        <v>187</v>
      </c>
      <c r="C26" s="12">
        <f>SUM(C15,C17,C21,C23,C25)</f>
        <v>30098378.432752505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AopjFRApPh7m+8NiQpigSmB5ujzLe/gzPkxh6eozcj3ZjsseFj8k/OyR0ofVsvAah2BW5xgOE9Bb4+EBsX12GQ==" saltValue="GurK/1qcX7xff3xH0ROGt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188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9" t="s">
        <v>13</v>
      </c>
      <c r="C7" s="60"/>
      <c r="D7" s="20"/>
      <c r="E7" s="1"/>
    </row>
    <row r="8" spans="1:5" ht="15" customHeight="1" x14ac:dyDescent="0.25">
      <c r="A8" s="1"/>
      <c r="B8" s="55" t="s">
        <v>189</v>
      </c>
      <c r="C8" s="7">
        <f>'Fane 2.3. Økonomisk ramme 2024'!C15</f>
        <v>19904012.392475665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51" t="s">
        <v>18</v>
      </c>
      <c r="C11" s="9">
        <f>SUM(C8:C10)*'Fane 12. Nøgletal'!C14</f>
        <v>65683.2408951697</v>
      </c>
      <c r="D11" s="8" t="s">
        <v>3</v>
      </c>
      <c r="E11" s="1"/>
    </row>
    <row r="12" spans="1:5" ht="15" customHeight="1" x14ac:dyDescent="0.25">
      <c r="A12" s="1"/>
      <c r="B12" s="51" t="s">
        <v>9</v>
      </c>
      <c r="C12" s="9">
        <f>-SUM(C8:C11)*'Fane 5. Individuelt eff. krav'!G10</f>
        <v>-399393.91266741673</v>
      </c>
      <c r="D12" s="8" t="s">
        <v>3</v>
      </c>
      <c r="E12" s="1"/>
    </row>
    <row r="13" spans="1:5" ht="15" customHeight="1" x14ac:dyDescent="0.25">
      <c r="A13" s="1"/>
      <c r="B13" s="51" t="s">
        <v>25</v>
      </c>
      <c r="C13" s="9">
        <f>-'Fane 4.1. Gen. krav - drift'!G56</f>
        <v>-187446.19185876456</v>
      </c>
      <c r="D13" s="8" t="s">
        <v>3</v>
      </c>
      <c r="E13" s="1"/>
    </row>
    <row r="14" spans="1:5" ht="15" customHeight="1" x14ac:dyDescent="0.25">
      <c r="A14" s="1"/>
      <c r="B14" s="51" t="s">
        <v>26</v>
      </c>
      <c r="C14" s="9">
        <f>-'Fane 4.2. Gen. krav - anlæg'!G56</f>
        <v>-204602.1238554166</v>
      </c>
      <c r="D14" s="8" t="s">
        <v>3</v>
      </c>
      <c r="E14" s="1"/>
    </row>
    <row r="15" spans="1:5" x14ac:dyDescent="0.25">
      <c r="A15" s="1"/>
      <c r="B15" s="56" t="s">
        <v>20</v>
      </c>
      <c r="C15" s="10">
        <f>SUM(C8:C14)</f>
        <v>19178253.404989239</v>
      </c>
      <c r="D15" s="11" t="s">
        <v>3</v>
      </c>
      <c r="E15" s="1"/>
    </row>
    <row r="16" spans="1:5" x14ac:dyDescent="0.25">
      <c r="A16" s="1"/>
      <c r="B16" s="59" t="s">
        <v>12</v>
      </c>
      <c r="C16" s="60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omk.'!C15*(1+'Fane 12. Nøgletal'!C14)^3</f>
        <v>10228007.448209755</v>
      </c>
      <c r="D17" s="11" t="s">
        <v>3</v>
      </c>
      <c r="E17" s="1"/>
    </row>
    <row r="18" spans="1:5" ht="15" customHeight="1" x14ac:dyDescent="0.25">
      <c r="A18" s="1"/>
      <c r="B18" s="59" t="s">
        <v>89</v>
      </c>
      <c r="C18" s="60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8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9" t="s">
        <v>161</v>
      </c>
      <c r="C22" s="60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225</v>
      </c>
      <c r="C24" s="60"/>
      <c r="D24" s="20"/>
      <c r="E24" s="1"/>
    </row>
    <row r="25" spans="1:5" x14ac:dyDescent="0.25">
      <c r="A25" s="1"/>
      <c r="B25" s="71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9" t="s">
        <v>190</v>
      </c>
      <c r="C26" s="12">
        <f>SUM(C15,C17,C21,C23,C25)</f>
        <v>29406260.853198994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oxUUELHp8bd7HrlRVNdXyNv/8+Nk+IfUM2e8kJpw+JcMT4jzBOGjs/EXZsrhd/UjHEnC+icWXzbavoFUJme7Ow==" saltValue="L/oyQ11J629Lq63MDert0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8" t="s">
        <v>191</v>
      </c>
      <c r="C3" s="98"/>
      <c r="D3" s="98"/>
      <c r="E3" s="98"/>
      <c r="F3" s="98"/>
      <c r="G3" s="1"/>
    </row>
    <row r="4" spans="1:7" ht="29.25" customHeight="1" x14ac:dyDescent="0.25">
      <c r="A4" s="1"/>
      <c r="B4" s="98"/>
      <c r="C4" s="98"/>
      <c r="D4" s="98"/>
      <c r="E4" s="98"/>
      <c r="F4" s="9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9" t="s">
        <v>224</v>
      </c>
      <c r="C8" s="60"/>
      <c r="D8" s="60"/>
      <c r="E8" s="60"/>
      <c r="F8" s="20"/>
      <c r="G8" s="1"/>
    </row>
    <row r="9" spans="1:7" x14ac:dyDescent="0.25">
      <c r="A9" s="1"/>
      <c r="B9" s="99" t="s">
        <v>23</v>
      </c>
      <c r="C9" s="100"/>
      <c r="D9" s="101"/>
      <c r="E9" s="7">
        <v>20519756.851738609</v>
      </c>
      <c r="F9" s="8" t="s">
        <v>3</v>
      </c>
      <c r="G9" s="1"/>
    </row>
    <row r="10" spans="1:7" ht="15" customHeight="1" x14ac:dyDescent="0.25">
      <c r="A10" s="1"/>
      <c r="B10" s="92" t="s">
        <v>40</v>
      </c>
      <c r="C10" s="93"/>
      <c r="D10" s="94"/>
      <c r="E10" s="9">
        <v>0</v>
      </c>
      <c r="F10" s="8" t="s">
        <v>3</v>
      </c>
      <c r="G10" s="1"/>
    </row>
    <row r="11" spans="1:7" ht="15" customHeight="1" x14ac:dyDescent="0.25">
      <c r="A11" s="1"/>
      <c r="B11" s="92" t="s">
        <v>41</v>
      </c>
      <c r="C11" s="93"/>
      <c r="D11" s="94"/>
      <c r="E11" s="9">
        <v>1127612.0562</v>
      </c>
      <c r="F11" s="8" t="s">
        <v>3</v>
      </c>
      <c r="G11" s="1"/>
    </row>
    <row r="12" spans="1:7" x14ac:dyDescent="0.25">
      <c r="A12" s="1"/>
      <c r="B12" s="92" t="s">
        <v>28</v>
      </c>
      <c r="C12" s="93"/>
      <c r="D12" s="94"/>
      <c r="E12" s="9">
        <v>0</v>
      </c>
      <c r="F12" s="8" t="s">
        <v>3</v>
      </c>
      <c r="G12" s="1"/>
    </row>
    <row r="13" spans="1:7" x14ac:dyDescent="0.25">
      <c r="A13" s="1"/>
      <c r="B13" s="92" t="s">
        <v>27</v>
      </c>
      <c r="C13" s="93"/>
      <c r="D13" s="94"/>
      <c r="E13" s="9">
        <v>0</v>
      </c>
      <c r="F13" s="8" t="s">
        <v>3</v>
      </c>
      <c r="G13" s="1"/>
    </row>
    <row r="14" spans="1:7" x14ac:dyDescent="0.25">
      <c r="A14" s="1"/>
      <c r="B14" s="92" t="s">
        <v>132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92" t="s">
        <v>133</v>
      </c>
      <c r="C15" s="93"/>
      <c r="D15" s="94"/>
      <c r="E15" s="9">
        <v>0</v>
      </c>
      <c r="F15" s="8" t="s">
        <v>3</v>
      </c>
      <c r="G15" s="1"/>
    </row>
    <row r="16" spans="1:7" x14ac:dyDescent="0.25">
      <c r="A16" s="1"/>
      <c r="B16" s="92" t="s">
        <v>18</v>
      </c>
      <c r="C16" s="93"/>
      <c r="D16" s="94"/>
      <c r="E16" s="9">
        <v>264097.90067685104</v>
      </c>
      <c r="F16" s="8" t="s">
        <v>3</v>
      </c>
      <c r="G16" s="1"/>
    </row>
    <row r="17" spans="1:7" x14ac:dyDescent="0.25">
      <c r="A17" s="1"/>
      <c r="B17" s="92" t="s">
        <v>9</v>
      </c>
      <c r="C17" s="93"/>
      <c r="D17" s="94"/>
      <c r="E17" s="9">
        <v>-438229.33617230924</v>
      </c>
      <c r="F17" s="8" t="s">
        <v>3</v>
      </c>
      <c r="G17" s="1"/>
    </row>
    <row r="18" spans="1:7" x14ac:dyDescent="0.25">
      <c r="A18" s="1"/>
      <c r="B18" s="92" t="s">
        <v>25</v>
      </c>
      <c r="C18" s="93"/>
      <c r="D18" s="94"/>
      <c r="E18" s="9">
        <v>-197675.20761326764</v>
      </c>
      <c r="F18" s="8" t="s">
        <v>3</v>
      </c>
      <c r="G18" s="1"/>
    </row>
    <row r="19" spans="1:7" x14ac:dyDescent="0.25">
      <c r="A19" s="1"/>
      <c r="B19" s="92" t="s">
        <v>26</v>
      </c>
      <c r="C19" s="93"/>
      <c r="D19" s="94"/>
      <c r="E19" s="9">
        <v>-370514.65538905247</v>
      </c>
      <c r="F19" s="8" t="s">
        <v>3</v>
      </c>
      <c r="G19" s="1"/>
    </row>
    <row r="20" spans="1:7" x14ac:dyDescent="0.25">
      <c r="A20" s="1"/>
      <c r="B20" s="105" t="s">
        <v>20</v>
      </c>
      <c r="C20" s="106"/>
      <c r="D20" s="107"/>
      <c r="E20" s="10">
        <f>SUM(E9:E19)</f>
        <v>20905047.609440833</v>
      </c>
      <c r="F20" s="11" t="s">
        <v>3</v>
      </c>
      <c r="G20" s="1"/>
    </row>
    <row r="21" spans="1:7" x14ac:dyDescent="0.25">
      <c r="A21" s="1"/>
      <c r="B21" s="59" t="s">
        <v>12</v>
      </c>
      <c r="C21" s="60"/>
      <c r="D21" s="60"/>
      <c r="E21" s="60"/>
      <c r="F21" s="20"/>
      <c r="G21" s="1"/>
    </row>
    <row r="22" spans="1:7" x14ac:dyDescent="0.25">
      <c r="A22" s="1"/>
      <c r="B22" s="95" t="s">
        <v>12</v>
      </c>
      <c r="C22" s="96"/>
      <c r="D22" s="97"/>
      <c r="E22" s="10">
        <v>11659165.25443276</v>
      </c>
      <c r="F22" s="11" t="s">
        <v>3</v>
      </c>
      <c r="G22" s="1"/>
    </row>
    <row r="23" spans="1:7" ht="15" customHeight="1" x14ac:dyDescent="0.25">
      <c r="A23" s="1"/>
      <c r="B23" s="111" t="s">
        <v>89</v>
      </c>
      <c r="C23" s="112"/>
      <c r="D23" s="112"/>
      <c r="E23" s="60"/>
      <c r="F23" s="60"/>
      <c r="G23" s="1"/>
    </row>
    <row r="24" spans="1:7" ht="14.25" customHeight="1" x14ac:dyDescent="0.25">
      <c r="A24" s="1"/>
      <c r="B24" s="102" t="s">
        <v>85</v>
      </c>
      <c r="C24" s="103"/>
      <c r="D24" s="104"/>
      <c r="E24" s="9">
        <v>0</v>
      </c>
      <c r="F24" s="8" t="s">
        <v>3</v>
      </c>
      <c r="G24" s="1"/>
    </row>
    <row r="25" spans="1:7" ht="14.25" customHeight="1" x14ac:dyDescent="0.25">
      <c r="A25" s="1"/>
      <c r="B25" s="102" t="s">
        <v>86</v>
      </c>
      <c r="C25" s="103"/>
      <c r="D25" s="104"/>
      <c r="E25" s="9">
        <v>0</v>
      </c>
      <c r="F25" s="8" t="s">
        <v>3</v>
      </c>
      <c r="G25" s="1"/>
    </row>
    <row r="26" spans="1:7" x14ac:dyDescent="0.25">
      <c r="A26" s="1"/>
      <c r="B26" s="108" t="s">
        <v>90</v>
      </c>
      <c r="C26" s="109"/>
      <c r="D26" s="109"/>
      <c r="E26" s="10">
        <v>0</v>
      </c>
      <c r="F26" s="11" t="s">
        <v>3</v>
      </c>
      <c r="G26" s="1"/>
    </row>
    <row r="27" spans="1:7" x14ac:dyDescent="0.25">
      <c r="A27" s="1"/>
      <c r="B27" s="59" t="s">
        <v>161</v>
      </c>
      <c r="C27" s="60"/>
      <c r="D27" s="60"/>
      <c r="E27" s="60"/>
      <c r="F27" s="20"/>
      <c r="G27" s="1"/>
    </row>
    <row r="28" spans="1:7" ht="15" customHeight="1" x14ac:dyDescent="0.25">
      <c r="A28" s="1"/>
      <c r="B28" s="108" t="s">
        <v>162</v>
      </c>
      <c r="C28" s="109"/>
      <c r="D28" s="110"/>
      <c r="E28" s="10">
        <v>-1282624.9341432303</v>
      </c>
      <c r="F28" s="11" t="s">
        <v>3</v>
      </c>
      <c r="G28" s="1"/>
    </row>
    <row r="29" spans="1:7" x14ac:dyDescent="0.25">
      <c r="A29" s="1"/>
      <c r="B29" s="59" t="s">
        <v>248</v>
      </c>
      <c r="C29" s="60"/>
      <c r="D29" s="60"/>
      <c r="E29" s="60"/>
      <c r="F29" s="20"/>
      <c r="G29" s="1"/>
    </row>
    <row r="30" spans="1:7" ht="15.6" customHeight="1" x14ac:dyDescent="0.25">
      <c r="A30" s="1"/>
      <c r="B30" s="95" t="s">
        <v>249</v>
      </c>
      <c r="C30" s="96"/>
      <c r="D30" s="97"/>
      <c r="E30" s="10">
        <v>546.41629999999998</v>
      </c>
      <c r="F30" s="11" t="s">
        <v>3</v>
      </c>
      <c r="G30" s="1"/>
    </row>
    <row r="31" spans="1:7" x14ac:dyDescent="0.25">
      <c r="A31" s="1"/>
      <c r="B31" s="59" t="s">
        <v>29</v>
      </c>
      <c r="C31" s="60"/>
      <c r="D31" s="60"/>
      <c r="E31" s="12">
        <f>E20+E22+E26+E28+E30</f>
        <v>31282134.346030362</v>
      </c>
      <c r="F31" s="13" t="s">
        <v>3</v>
      </c>
      <c r="G31" s="1"/>
    </row>
    <row r="32" spans="1:7" ht="27.75" customHeight="1" x14ac:dyDescent="0.25">
      <c r="A32" s="1"/>
      <c r="B32" s="102" t="s">
        <v>192</v>
      </c>
      <c r="C32" s="103"/>
      <c r="D32" s="103"/>
      <c r="E32" s="103"/>
      <c r="F32" s="104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g3/ESe99FDLMXDbJWVCntZf94D4ub/C3R6E6agmolBSnPkfNCXrulEzCCsC6Q2pgAobLpdqmgVpSG72yLFeDmA==" saltValue="8ZhEw7p+42bGD4RU0gt/ag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8" t="s">
        <v>115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8"/>
      <c r="C3" s="98"/>
      <c r="D3" s="98"/>
      <c r="E3" s="98"/>
      <c r="F3" s="98"/>
      <c r="G3" s="98"/>
      <c r="H3" s="98"/>
      <c r="I3" s="1"/>
    </row>
    <row r="4" spans="1:9" x14ac:dyDescent="0.25">
      <c r="A4" s="1"/>
      <c r="B4" s="113" t="s">
        <v>54</v>
      </c>
      <c r="C4" s="114"/>
      <c r="D4" s="114"/>
      <c r="E4" s="114"/>
      <c r="F4" s="114"/>
      <c r="G4" s="114"/>
      <c r="H4" s="115"/>
      <c r="I4" s="1"/>
    </row>
    <row r="5" spans="1:9" x14ac:dyDescent="0.25">
      <c r="A5" s="1"/>
      <c r="B5" s="116" t="s">
        <v>43</v>
      </c>
      <c r="C5" s="117"/>
      <c r="D5" s="117"/>
      <c r="E5" s="117"/>
      <c r="F5" s="118"/>
      <c r="G5" s="24">
        <v>10109141.314623382</v>
      </c>
      <c r="H5" s="14" t="s">
        <v>3</v>
      </c>
      <c r="I5" s="1"/>
    </row>
    <row r="6" spans="1:9" x14ac:dyDescent="0.25">
      <c r="A6" s="1"/>
      <c r="B6" s="116" t="s">
        <v>44</v>
      </c>
      <c r="C6" s="117"/>
      <c r="D6" s="117"/>
      <c r="E6" s="117"/>
      <c r="F6" s="118"/>
      <c r="G6" s="24">
        <f>G5*'Fane 12. Nøgletal'!C29</f>
        <v>202182.82629246765</v>
      </c>
      <c r="H6" s="14" t="s">
        <v>3</v>
      </c>
      <c r="I6" s="1"/>
    </row>
    <row r="7" spans="1:9" x14ac:dyDescent="0.25">
      <c r="A7" s="1"/>
      <c r="B7" s="59"/>
      <c r="C7" s="60"/>
      <c r="D7" s="60"/>
      <c r="E7" s="60"/>
      <c r="F7" s="60"/>
      <c r="G7" s="60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3" t="s">
        <v>55</v>
      </c>
      <c r="C9" s="114"/>
      <c r="D9" s="114"/>
      <c r="E9" s="114"/>
      <c r="F9" s="114"/>
      <c r="G9" s="114"/>
      <c r="H9" s="115"/>
      <c r="I9" s="1"/>
    </row>
    <row r="10" spans="1:9" x14ac:dyDescent="0.25">
      <c r="A10" s="1"/>
      <c r="B10" s="116" t="s">
        <v>45</v>
      </c>
      <c r="C10" s="117"/>
      <c r="D10" s="117"/>
      <c r="E10" s="117"/>
      <c r="F10" s="118"/>
      <c r="G10" s="24">
        <f>(G5-G6)*(1+'Fane 12. Nøgletal'!C9)</f>
        <v>10032776.861132715</v>
      </c>
      <c r="H10" s="14" t="s">
        <v>3</v>
      </c>
      <c r="I10" s="1"/>
    </row>
    <row r="11" spans="1:9" x14ac:dyDescent="0.25">
      <c r="A11" s="1"/>
      <c r="B11" s="119" t="s">
        <v>46</v>
      </c>
      <c r="C11" s="120"/>
      <c r="D11" s="120"/>
      <c r="E11" s="120"/>
      <c r="F11" s="121"/>
      <c r="G11" s="24">
        <v>0</v>
      </c>
      <c r="H11" s="14" t="s">
        <v>3</v>
      </c>
      <c r="I11" s="1"/>
    </row>
    <row r="12" spans="1:9" x14ac:dyDescent="0.25">
      <c r="A12" s="1"/>
      <c r="B12" s="116" t="s">
        <v>47</v>
      </c>
      <c r="C12" s="117"/>
      <c r="D12" s="117"/>
      <c r="E12" s="117"/>
      <c r="F12" s="118"/>
      <c r="G12" s="24">
        <f>(G10+G11)*'Fane 12. Nøgletal'!C29</f>
        <v>200655.5372226543</v>
      </c>
      <c r="H12" s="14" t="s">
        <v>3</v>
      </c>
      <c r="I12" s="1"/>
    </row>
    <row r="13" spans="1:9" x14ac:dyDescent="0.25">
      <c r="A13" s="1"/>
      <c r="B13" s="59"/>
      <c r="C13" s="60"/>
      <c r="D13" s="60"/>
      <c r="E13" s="60"/>
      <c r="F13" s="60"/>
      <c r="G13" s="60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3" t="s">
        <v>56</v>
      </c>
      <c r="C15" s="114"/>
      <c r="D15" s="114"/>
      <c r="E15" s="114"/>
      <c r="F15" s="114"/>
      <c r="G15" s="114"/>
      <c r="H15" s="115"/>
      <c r="I15" s="1"/>
    </row>
    <row r="16" spans="1:9" x14ac:dyDescent="0.25">
      <c r="A16" s="1"/>
      <c r="B16" s="116" t="s">
        <v>48</v>
      </c>
      <c r="C16" s="117"/>
      <c r="D16" s="117"/>
      <c r="E16" s="117"/>
      <c r="F16" s="118"/>
      <c r="G16" s="24">
        <f>(G10+G11-G12)*(1+'Fane 12. Nøgletal'!C11)</f>
        <v>9998284.1742841396</v>
      </c>
      <c r="H16" s="14" t="s">
        <v>3</v>
      </c>
      <c r="I16" s="1"/>
    </row>
    <row r="17" spans="1:9" x14ac:dyDescent="0.25">
      <c r="A17" s="1"/>
      <c r="B17" s="116" t="s">
        <v>125</v>
      </c>
      <c r="C17" s="117"/>
      <c r="D17" s="117"/>
      <c r="E17" s="117"/>
      <c r="F17" s="118"/>
      <c r="G17" s="24">
        <v>0</v>
      </c>
      <c r="H17" s="14" t="s">
        <v>3</v>
      </c>
      <c r="I17" s="1"/>
    </row>
    <row r="18" spans="1:9" x14ac:dyDescent="0.25">
      <c r="A18" s="1"/>
      <c r="B18" s="119" t="s">
        <v>49</v>
      </c>
      <c r="C18" s="120"/>
      <c r="D18" s="120"/>
      <c r="E18" s="120"/>
      <c r="F18" s="121"/>
      <c r="G18" s="24">
        <v>0</v>
      </c>
      <c r="H18" s="14" t="s">
        <v>3</v>
      </c>
      <c r="I18" s="1"/>
    </row>
    <row r="19" spans="1:9" x14ac:dyDescent="0.25">
      <c r="A19" s="1"/>
      <c r="B19" s="116" t="s">
        <v>50</v>
      </c>
      <c r="C19" s="117"/>
      <c r="D19" s="117"/>
      <c r="E19" s="117"/>
      <c r="F19" s="118"/>
      <c r="G19" s="24">
        <f>SUM(G16:G18)*'Fane 12. Nøgletal'!C29</f>
        <v>199965.68348568279</v>
      </c>
      <c r="H19" s="14" t="s">
        <v>3</v>
      </c>
      <c r="I19" s="1"/>
    </row>
    <row r="20" spans="1:9" x14ac:dyDescent="0.25">
      <c r="A20" s="1"/>
      <c r="B20" s="59"/>
      <c r="C20" s="60"/>
      <c r="D20" s="60"/>
      <c r="E20" s="60"/>
      <c r="F20" s="60"/>
      <c r="G20" s="60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3" t="s">
        <v>57</v>
      </c>
      <c r="C22" s="114"/>
      <c r="D22" s="114"/>
      <c r="E22" s="114"/>
      <c r="F22" s="114"/>
      <c r="G22" s="114"/>
      <c r="H22" s="115"/>
      <c r="I22" s="1"/>
    </row>
    <row r="23" spans="1:9" x14ac:dyDescent="0.25">
      <c r="A23" s="1"/>
      <c r="B23" s="116" t="s">
        <v>51</v>
      </c>
      <c r="C23" s="117"/>
      <c r="D23" s="117"/>
      <c r="E23" s="117"/>
      <c r="F23" s="118"/>
      <c r="G23" s="24">
        <f>(SUM(G16:G18)-G19)*(1+'Fane 12. Nøgletal'!C11)</f>
        <v>9963910.0732929502</v>
      </c>
      <c r="H23" s="14" t="s">
        <v>3</v>
      </c>
      <c r="I23" s="1"/>
    </row>
    <row r="24" spans="1:9" x14ac:dyDescent="0.25">
      <c r="A24" s="1"/>
      <c r="B24" s="119" t="s">
        <v>52</v>
      </c>
      <c r="C24" s="120"/>
      <c r="D24" s="120"/>
      <c r="E24" s="120"/>
      <c r="F24" s="121"/>
      <c r="G24" s="24">
        <v>0</v>
      </c>
      <c r="H24" s="14" t="s">
        <v>3</v>
      </c>
      <c r="I24" s="1"/>
    </row>
    <row r="25" spans="1:9" x14ac:dyDescent="0.25">
      <c r="A25" s="1"/>
      <c r="B25" s="116" t="s">
        <v>53</v>
      </c>
      <c r="C25" s="117"/>
      <c r="D25" s="117"/>
      <c r="E25" s="117"/>
      <c r="F25" s="118"/>
      <c r="G25" s="24">
        <f>(G23+G24)*'Fane 12. Nøgletal'!C29</f>
        <v>199278.20146585902</v>
      </c>
      <c r="H25" s="14" t="s">
        <v>3</v>
      </c>
      <c r="I25" s="1"/>
    </row>
    <row r="26" spans="1:9" x14ac:dyDescent="0.25">
      <c r="A26" s="1"/>
      <c r="B26" s="59"/>
      <c r="C26" s="60"/>
      <c r="D26" s="60"/>
      <c r="E26" s="60"/>
      <c r="F26" s="60"/>
      <c r="G26" s="60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3" t="s">
        <v>175</v>
      </c>
      <c r="C28" s="114"/>
      <c r="D28" s="114"/>
      <c r="E28" s="114"/>
      <c r="F28" s="114"/>
      <c r="G28" s="114"/>
      <c r="H28" s="115"/>
      <c r="I28" s="1"/>
    </row>
    <row r="29" spans="1:9" x14ac:dyDescent="0.25">
      <c r="A29" s="1"/>
      <c r="B29" s="116" t="s">
        <v>60</v>
      </c>
      <c r="C29" s="117"/>
      <c r="D29" s="117"/>
      <c r="E29" s="117"/>
      <c r="F29" s="118"/>
      <c r="G29" s="24">
        <f>(G23+G24-G25)*(1+'Fane 12. Nøgletal'!C13)</f>
        <v>9883760.3806633819</v>
      </c>
      <c r="H29" s="14" t="s">
        <v>3</v>
      </c>
      <c r="I29" s="1"/>
    </row>
    <row r="30" spans="1:9" x14ac:dyDescent="0.25">
      <c r="A30" s="1"/>
      <c r="B30" s="116" t="s">
        <v>147</v>
      </c>
      <c r="C30" s="117"/>
      <c r="D30" s="117"/>
      <c r="E30" s="117"/>
      <c r="F30" s="118"/>
      <c r="G30" s="24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6" t="s">
        <v>159</v>
      </c>
      <c r="C31" s="117"/>
      <c r="D31" s="117"/>
      <c r="E31" s="117"/>
      <c r="F31" s="118"/>
      <c r="G31" s="24">
        <f>(G29+G30)*'Fane 12. Nøgletal'!C29</f>
        <v>197675.20761326764</v>
      </c>
      <c r="H31" s="14" t="s">
        <v>3</v>
      </c>
      <c r="I31" s="1"/>
    </row>
    <row r="32" spans="1:9" x14ac:dyDescent="0.25">
      <c r="A32" s="1"/>
      <c r="B32" s="59"/>
      <c r="C32" s="60"/>
      <c r="D32" s="60"/>
      <c r="E32" s="60"/>
      <c r="F32" s="60"/>
      <c r="G32" s="60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3" t="s">
        <v>176</v>
      </c>
      <c r="C34" s="114"/>
      <c r="D34" s="114"/>
      <c r="E34" s="114"/>
      <c r="F34" s="114"/>
      <c r="G34" s="114"/>
      <c r="H34" s="115"/>
      <c r="I34" s="1"/>
    </row>
    <row r="35" spans="1:9" x14ac:dyDescent="0.25">
      <c r="A35" s="1"/>
      <c r="B35" s="116" t="s">
        <v>80</v>
      </c>
      <c r="C35" s="117"/>
      <c r="D35" s="117"/>
      <c r="E35" s="117"/>
      <c r="F35" s="118"/>
      <c r="G35" s="24">
        <f>(G29+G30-G31)*(1+'Fane 12. Nøgletal'!C13)</f>
        <v>9804255.412161326</v>
      </c>
      <c r="H35" s="14" t="s">
        <v>3</v>
      </c>
      <c r="I35" s="1"/>
    </row>
    <row r="36" spans="1:9" x14ac:dyDescent="0.25">
      <c r="A36" s="1"/>
      <c r="B36" s="37" t="s">
        <v>193</v>
      </c>
      <c r="C36" s="65"/>
      <c r="D36" s="65"/>
      <c r="E36" s="65"/>
      <c r="F36" s="66"/>
      <c r="G36" s="24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6" t="s">
        <v>222</v>
      </c>
      <c r="C37" s="117"/>
      <c r="D37" s="117"/>
      <c r="E37" s="117"/>
      <c r="F37" s="118"/>
      <c r="G37" s="24">
        <f>SUM('Fane 2.1. Økonomisk ramme 2022'!C12,'Fane 2.1. Økonomisk ramme 2022'!C14,'Fane 2.1. Økonomisk ramme 2022'!C16)*(1+'Fane 12. Nøgletal'!C14)</f>
        <v>55722.959037730012</v>
      </c>
      <c r="H37" s="14" t="s">
        <v>3</v>
      </c>
      <c r="I37" s="1"/>
    </row>
    <row r="38" spans="1:9" x14ac:dyDescent="0.25">
      <c r="A38" s="1"/>
      <c r="B38" s="116" t="s">
        <v>177</v>
      </c>
      <c r="C38" s="117"/>
      <c r="D38" s="117"/>
      <c r="E38" s="117"/>
      <c r="F38" s="118"/>
      <c r="G38" s="24">
        <f>(G35+G37)*'Fane 12. Nøgletal'!C29</f>
        <v>197199.56742398115</v>
      </c>
      <c r="H38" s="14" t="s">
        <v>3</v>
      </c>
      <c r="I38" s="1"/>
    </row>
    <row r="39" spans="1:9" x14ac:dyDescent="0.25">
      <c r="A39" s="1"/>
      <c r="B39" s="59"/>
      <c r="C39" s="60"/>
      <c r="D39" s="60"/>
      <c r="E39" s="60"/>
      <c r="F39" s="60"/>
      <c r="G39" s="60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3" t="s">
        <v>81</v>
      </c>
      <c r="C41" s="114"/>
      <c r="D41" s="114"/>
      <c r="E41" s="114"/>
      <c r="F41" s="114"/>
      <c r="G41" s="114"/>
      <c r="H41" s="115"/>
      <c r="I41" s="1"/>
    </row>
    <row r="42" spans="1:9" x14ac:dyDescent="0.25">
      <c r="A42" s="1"/>
      <c r="B42" s="116" t="s">
        <v>79</v>
      </c>
      <c r="C42" s="117"/>
      <c r="D42" s="117"/>
      <c r="E42" s="117"/>
      <c r="F42" s="118"/>
      <c r="G42" s="24">
        <f>(G35+G37-G38)*(1+'Fane 12. Nøgletal'!C14)</f>
        <v>9694665.9738275334</v>
      </c>
      <c r="H42" s="14" t="s">
        <v>3</v>
      </c>
      <c r="I42" s="1"/>
    </row>
    <row r="43" spans="1:9" x14ac:dyDescent="0.25">
      <c r="A43" s="1"/>
      <c r="B43" s="116" t="s">
        <v>92</v>
      </c>
      <c r="C43" s="117"/>
      <c r="D43" s="117"/>
      <c r="E43" s="117"/>
      <c r="F43" s="118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6" t="s">
        <v>61</v>
      </c>
      <c r="C44" s="117"/>
      <c r="D44" s="117"/>
      <c r="E44" s="117"/>
      <c r="F44" s="118"/>
      <c r="G44" s="24">
        <f>(G42+G43)*'Fane 12. Nøgletal'!C29</f>
        <v>193893.31947655068</v>
      </c>
      <c r="H44" s="14" t="s">
        <v>3</v>
      </c>
      <c r="I44" s="1"/>
    </row>
    <row r="45" spans="1:9" x14ac:dyDescent="0.25">
      <c r="A45" s="1"/>
      <c r="B45" s="59"/>
      <c r="C45" s="60"/>
      <c r="D45" s="60"/>
      <c r="E45" s="60"/>
      <c r="F45" s="60"/>
      <c r="G45" s="60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3" t="s">
        <v>148</v>
      </c>
      <c r="C47" s="114"/>
      <c r="D47" s="114"/>
      <c r="E47" s="114"/>
      <c r="F47" s="114"/>
      <c r="G47" s="114"/>
      <c r="H47" s="115"/>
      <c r="I47" s="1"/>
    </row>
    <row r="48" spans="1:9" x14ac:dyDescent="0.25">
      <c r="A48" s="1"/>
      <c r="B48" s="116" t="s">
        <v>149</v>
      </c>
      <c r="C48" s="117"/>
      <c r="D48" s="117"/>
      <c r="E48" s="117"/>
      <c r="F48" s="118"/>
      <c r="G48" s="24">
        <f>(G42+G43-G44)*(1+'Fane 12. Nøgletal'!C14)</f>
        <v>9532125.2041103411</v>
      </c>
      <c r="H48" s="14" t="s">
        <v>3</v>
      </c>
      <c r="I48" s="1"/>
    </row>
    <row r="49" spans="1:9" x14ac:dyDescent="0.25">
      <c r="A49" s="1"/>
      <c r="B49" s="116" t="s">
        <v>150</v>
      </c>
      <c r="C49" s="117"/>
      <c r="D49" s="117"/>
      <c r="E49" s="117"/>
      <c r="F49" s="118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6" t="s">
        <v>151</v>
      </c>
      <c r="C50" s="117"/>
      <c r="D50" s="117"/>
      <c r="E50" s="117"/>
      <c r="F50" s="118"/>
      <c r="G50" s="24">
        <f>(G48+G49)*'Fane 12. Nøgletal'!C29</f>
        <v>190642.50408220684</v>
      </c>
      <c r="H50" s="14" t="s">
        <v>3</v>
      </c>
      <c r="I50" s="1"/>
    </row>
    <row r="51" spans="1:9" x14ac:dyDescent="0.25">
      <c r="A51" s="1"/>
      <c r="B51" s="59"/>
      <c r="C51" s="60"/>
      <c r="D51" s="60"/>
      <c r="E51" s="60"/>
      <c r="F51" s="60"/>
      <c r="G51" s="60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3" t="s">
        <v>199</v>
      </c>
      <c r="C53" s="114"/>
      <c r="D53" s="114"/>
      <c r="E53" s="114"/>
      <c r="F53" s="114"/>
      <c r="G53" s="114"/>
      <c r="H53" s="115"/>
      <c r="I53" s="1"/>
    </row>
    <row r="54" spans="1:9" x14ac:dyDescent="0.25">
      <c r="A54" s="1"/>
      <c r="B54" s="116" t="s">
        <v>200</v>
      </c>
      <c r="C54" s="117"/>
      <c r="D54" s="117"/>
      <c r="E54" s="117"/>
      <c r="F54" s="118"/>
      <c r="G54" s="24">
        <f>(G48+G49-G50)*(1+'Fane 12. Nøgletal'!C14)</f>
        <v>9372309.5929382276</v>
      </c>
      <c r="H54" s="14" t="s">
        <v>3</v>
      </c>
      <c r="I54" s="1"/>
    </row>
    <row r="55" spans="1:9" x14ac:dyDescent="0.25">
      <c r="A55" s="1"/>
      <c r="B55" s="116" t="s">
        <v>201</v>
      </c>
      <c r="C55" s="117"/>
      <c r="D55" s="117"/>
      <c r="E55" s="117"/>
      <c r="F55" s="118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6" t="s">
        <v>202</v>
      </c>
      <c r="C56" s="117"/>
      <c r="D56" s="117"/>
      <c r="E56" s="117"/>
      <c r="F56" s="118"/>
      <c r="G56" s="24">
        <f>(G54+G55)*'Fane 12. Nøgletal'!C29</f>
        <v>187446.19185876456</v>
      </c>
      <c r="H56" s="14" t="s">
        <v>3</v>
      </c>
      <c r="I56" s="1"/>
    </row>
    <row r="57" spans="1:9" x14ac:dyDescent="0.25">
      <c r="A57" s="1"/>
      <c r="B57" s="59"/>
      <c r="C57" s="60"/>
      <c r="D57" s="60"/>
      <c r="E57" s="60"/>
      <c r="F57" s="60"/>
      <c r="G57" s="60"/>
      <c r="H57" s="20"/>
      <c r="I57" s="1"/>
    </row>
  </sheetData>
  <sheetProtection algorithmName="SHA-512" hashValue="2IrWIZS7E5TVwQ5a14HB1wDtILfxgUppvTxcXkl2WOTF41bgYRi7UFCrrb0uSGhDdzwJ5fBx5FYUtFT3w75yqw==" saltValue="qm4BviyfiN3MarR9DRrT0g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2" t="s">
        <v>116</v>
      </c>
      <c r="C1" s="123"/>
      <c r="D1" s="123"/>
      <c r="E1" s="123"/>
      <c r="F1" s="123"/>
      <c r="G1" s="123"/>
      <c r="H1" s="123"/>
      <c r="I1" s="1"/>
    </row>
    <row r="2" spans="1:9" ht="19.899999999999999" customHeight="1" x14ac:dyDescent="0.25">
      <c r="A2" s="1"/>
      <c r="B2" s="123"/>
      <c r="C2" s="123"/>
      <c r="D2" s="123"/>
      <c r="E2" s="123"/>
      <c r="F2" s="123"/>
      <c r="G2" s="123"/>
      <c r="H2" s="123"/>
      <c r="I2" s="1"/>
    </row>
    <row r="3" spans="1:9" ht="15" customHeight="1" x14ac:dyDescent="0.25">
      <c r="A3" s="1"/>
      <c r="B3" s="124"/>
      <c r="C3" s="124"/>
      <c r="D3" s="124"/>
      <c r="E3" s="124"/>
      <c r="F3" s="124"/>
      <c r="G3" s="124"/>
      <c r="H3" s="124"/>
      <c r="I3" s="1"/>
    </row>
    <row r="4" spans="1:9" x14ac:dyDescent="0.25">
      <c r="A4" s="1"/>
      <c r="B4" s="113" t="s">
        <v>58</v>
      </c>
      <c r="C4" s="114"/>
      <c r="D4" s="114"/>
      <c r="E4" s="114"/>
      <c r="F4" s="114"/>
      <c r="G4" s="114"/>
      <c r="H4" s="115"/>
      <c r="I4" s="1"/>
    </row>
    <row r="5" spans="1:9" x14ac:dyDescent="0.25">
      <c r="A5" s="1"/>
      <c r="B5" s="116" t="s">
        <v>62</v>
      </c>
      <c r="C5" s="117"/>
      <c r="D5" s="117"/>
      <c r="E5" s="117"/>
      <c r="F5" s="118"/>
      <c r="G5" s="24">
        <v>8664845.4405658785</v>
      </c>
      <c r="H5" s="14" t="s">
        <v>3</v>
      </c>
      <c r="I5" s="1"/>
    </row>
    <row r="6" spans="1:9" x14ac:dyDescent="0.25">
      <c r="A6" s="1"/>
      <c r="B6" s="116" t="s">
        <v>59</v>
      </c>
      <c r="C6" s="117"/>
      <c r="D6" s="117"/>
      <c r="E6" s="117"/>
      <c r="F6" s="118"/>
      <c r="G6" s="24">
        <f>G5*'Fane 12. Nøgletal'!C19</f>
        <v>78850.093509149505</v>
      </c>
      <c r="H6" s="14" t="s">
        <v>3</v>
      </c>
      <c r="I6" s="1"/>
    </row>
    <row r="7" spans="1:9" x14ac:dyDescent="0.25">
      <c r="A7" s="1"/>
      <c r="B7" s="59"/>
      <c r="C7" s="60"/>
      <c r="D7" s="60"/>
      <c r="E7" s="60"/>
      <c r="F7" s="60"/>
      <c r="G7" s="60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3" t="s">
        <v>63</v>
      </c>
      <c r="C9" s="114"/>
      <c r="D9" s="114"/>
      <c r="E9" s="114"/>
      <c r="F9" s="114"/>
      <c r="G9" s="114"/>
      <c r="H9" s="115"/>
      <c r="I9" s="1"/>
    </row>
    <row r="10" spans="1:9" x14ac:dyDescent="0.25">
      <c r="A10" s="1"/>
      <c r="B10" s="116" t="s">
        <v>64</v>
      </c>
      <c r="C10" s="117"/>
      <c r="D10" s="117"/>
      <c r="E10" s="117"/>
      <c r="F10" s="118"/>
      <c r="G10" s="24">
        <f>(G5-G6)*(1+'Fane 12. Nøgletal'!C9)</f>
        <v>8695037.4879643489</v>
      </c>
      <c r="H10" s="14" t="s">
        <v>3</v>
      </c>
      <c r="I10" s="1"/>
    </row>
    <row r="11" spans="1:9" x14ac:dyDescent="0.25">
      <c r="A11" s="1"/>
      <c r="B11" s="119" t="s">
        <v>65</v>
      </c>
      <c r="C11" s="120"/>
      <c r="D11" s="120"/>
      <c r="E11" s="120"/>
      <c r="F11" s="121"/>
      <c r="G11" s="24">
        <v>0</v>
      </c>
      <c r="H11" s="14" t="s">
        <v>3</v>
      </c>
      <c r="I11" s="1"/>
    </row>
    <row r="12" spans="1:9" x14ac:dyDescent="0.25">
      <c r="A12" s="1"/>
      <c r="B12" s="116" t="s">
        <v>66</v>
      </c>
      <c r="C12" s="117"/>
      <c r="D12" s="117"/>
      <c r="E12" s="117"/>
      <c r="F12" s="118"/>
      <c r="G12" s="24">
        <f>G10*'Fane 12. Nøgletal'!C19+G11*'Fane 12. Nøgletal'!C20</f>
        <v>79124.841140475575</v>
      </c>
      <c r="H12" s="14" t="s">
        <v>3</v>
      </c>
      <c r="I12" s="1"/>
    </row>
    <row r="13" spans="1:9" x14ac:dyDescent="0.25">
      <c r="A13" s="1"/>
      <c r="B13" s="59"/>
      <c r="C13" s="60"/>
      <c r="D13" s="60"/>
      <c r="E13" s="60"/>
      <c r="F13" s="60"/>
      <c r="G13" s="60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3" t="s">
        <v>67</v>
      </c>
      <c r="C15" s="114"/>
      <c r="D15" s="114"/>
      <c r="E15" s="114"/>
      <c r="F15" s="114"/>
      <c r="G15" s="114"/>
      <c r="H15" s="115"/>
      <c r="I15" s="1"/>
    </row>
    <row r="16" spans="1:9" x14ac:dyDescent="0.25">
      <c r="A16" s="1"/>
      <c r="B16" s="116" t="s">
        <v>68</v>
      </c>
      <c r="C16" s="117"/>
      <c r="D16" s="117"/>
      <c r="E16" s="117"/>
      <c r="F16" s="118"/>
      <c r="G16" s="24">
        <f>(G10+G11-G12)*(1+'Fane 12. Nøgletal'!C11)</f>
        <v>8761521.5705551971</v>
      </c>
      <c r="H16" s="14" t="s">
        <v>3</v>
      </c>
      <c r="I16" s="1"/>
    </row>
    <row r="17" spans="1:9" x14ac:dyDescent="0.25">
      <c r="A17" s="1"/>
      <c r="B17" s="116" t="s">
        <v>126</v>
      </c>
      <c r="C17" s="117"/>
      <c r="D17" s="117"/>
      <c r="E17" s="117"/>
      <c r="F17" s="118"/>
      <c r="G17" s="24">
        <v>-697708.95852100162</v>
      </c>
      <c r="H17" s="14" t="s">
        <v>3</v>
      </c>
      <c r="I17" s="1"/>
    </row>
    <row r="18" spans="1:9" x14ac:dyDescent="0.25">
      <c r="A18" s="1"/>
      <c r="B18" s="119" t="s">
        <v>69</v>
      </c>
      <c r="C18" s="120"/>
      <c r="D18" s="120"/>
      <c r="E18" s="120"/>
      <c r="F18" s="121"/>
      <c r="G18" s="24">
        <v>2100187.5445712097</v>
      </c>
      <c r="H18" s="14" t="s">
        <v>3</v>
      </c>
      <c r="I18" s="1"/>
    </row>
    <row r="19" spans="1:9" x14ac:dyDescent="0.25">
      <c r="A19" s="1"/>
      <c r="B19" s="116" t="s">
        <v>70</v>
      </c>
      <c r="C19" s="117"/>
      <c r="D19" s="117"/>
      <c r="E19" s="117"/>
      <c r="F19" s="118"/>
      <c r="G19" s="24">
        <f>(G16+G17+G18)*'Fane 12. Nøgletal'!C21</f>
        <v>88426.801362467013</v>
      </c>
      <c r="H19" s="14" t="s">
        <v>3</v>
      </c>
      <c r="I19" s="1"/>
    </row>
    <row r="20" spans="1:9" x14ac:dyDescent="0.25">
      <c r="A20" s="1"/>
      <c r="B20" s="59"/>
      <c r="C20" s="60"/>
      <c r="D20" s="60"/>
      <c r="E20" s="60"/>
      <c r="F20" s="60"/>
      <c r="G20" s="60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3" t="s">
        <v>71</v>
      </c>
      <c r="C22" s="114"/>
      <c r="D22" s="114"/>
      <c r="E22" s="114"/>
      <c r="F22" s="114"/>
      <c r="G22" s="114"/>
      <c r="H22" s="115"/>
      <c r="I22" s="1"/>
    </row>
    <row r="23" spans="1:9" x14ac:dyDescent="0.25">
      <c r="A23" s="1"/>
      <c r="B23" s="116" t="s">
        <v>72</v>
      </c>
      <c r="C23" s="117"/>
      <c r="D23" s="117"/>
      <c r="E23" s="117"/>
      <c r="F23" s="118"/>
      <c r="G23" s="24">
        <f>(SUM(G16:G18)-G19)*(1+'Fane 12. Nøgletal'!C11)</f>
        <v>10245850.54494654</v>
      </c>
      <c r="H23" s="14" t="s">
        <v>3</v>
      </c>
      <c r="I23" s="1"/>
    </row>
    <row r="24" spans="1:9" x14ac:dyDescent="0.25">
      <c r="A24" s="1"/>
      <c r="B24" s="119" t="s">
        <v>73</v>
      </c>
      <c r="C24" s="120"/>
      <c r="D24" s="120"/>
      <c r="E24" s="120"/>
      <c r="F24" s="121"/>
      <c r="G24" s="24">
        <v>2085780.0635081241</v>
      </c>
      <c r="H24" s="14" t="s">
        <v>3</v>
      </c>
      <c r="I24" s="1"/>
    </row>
    <row r="25" spans="1:9" x14ac:dyDescent="0.25">
      <c r="A25" s="1"/>
      <c r="B25" s="116" t="s">
        <v>74</v>
      </c>
      <c r="C25" s="117"/>
      <c r="D25" s="117"/>
      <c r="E25" s="117"/>
      <c r="F25" s="118"/>
      <c r="G25" s="24">
        <f>G23*'Fane 12. Nøgletal'!C21+G24*'Fane 12. Nøgletal'!C22</f>
        <v>148375.05354466563</v>
      </c>
      <c r="H25" s="14" t="s">
        <v>3</v>
      </c>
      <c r="I25" s="1"/>
    </row>
    <row r="26" spans="1:9" x14ac:dyDescent="0.25">
      <c r="A26" s="1"/>
      <c r="B26" s="59"/>
      <c r="C26" s="60"/>
      <c r="D26" s="60"/>
      <c r="E26" s="60"/>
      <c r="F26" s="60"/>
      <c r="G26" s="60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3" t="s">
        <v>173</v>
      </c>
      <c r="C28" s="114"/>
      <c r="D28" s="114"/>
      <c r="E28" s="114"/>
      <c r="F28" s="114"/>
      <c r="G28" s="114"/>
      <c r="H28" s="115"/>
      <c r="I28" s="1"/>
    </row>
    <row r="29" spans="1:9" x14ac:dyDescent="0.25">
      <c r="A29" s="1"/>
      <c r="B29" s="116" t="s">
        <v>75</v>
      </c>
      <c r="C29" s="117"/>
      <c r="D29" s="117"/>
      <c r="E29" s="117"/>
      <c r="F29" s="118"/>
      <c r="G29" s="24">
        <f>(G23+G24-G25)*(1+'Fane 12. Nøgletal'!C13)</f>
        <v>12331891.272679901</v>
      </c>
      <c r="H29" s="14" t="s">
        <v>3</v>
      </c>
      <c r="I29" s="1"/>
    </row>
    <row r="30" spans="1:9" x14ac:dyDescent="0.25">
      <c r="A30" s="1"/>
      <c r="B30" s="116" t="s">
        <v>152</v>
      </c>
      <c r="C30" s="117"/>
      <c r="D30" s="117"/>
      <c r="E30" s="117"/>
      <c r="F30" s="118"/>
      <c r="G30" s="24">
        <v>1141368.9232856401</v>
      </c>
      <c r="H30" s="14" t="s">
        <v>3</v>
      </c>
      <c r="I30" s="1"/>
    </row>
    <row r="31" spans="1:9" x14ac:dyDescent="0.25">
      <c r="A31" s="1"/>
      <c r="B31" s="116" t="s">
        <v>174</v>
      </c>
      <c r="C31" s="117"/>
      <c r="D31" s="117"/>
      <c r="E31" s="117"/>
      <c r="F31" s="118"/>
      <c r="G31" s="24">
        <f>(G29+G30)*'Fane 12. Nøgletal'!C23</f>
        <v>370514.65538905241</v>
      </c>
      <c r="H31" s="14" t="s">
        <v>3</v>
      </c>
      <c r="I31" s="1"/>
    </row>
    <row r="32" spans="1:9" x14ac:dyDescent="0.25">
      <c r="A32" s="1"/>
      <c r="B32" s="59"/>
      <c r="C32" s="60"/>
      <c r="D32" s="60"/>
      <c r="E32" s="60"/>
      <c r="F32" s="60"/>
      <c r="G32" s="60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3" t="s">
        <v>178</v>
      </c>
      <c r="C34" s="114"/>
      <c r="D34" s="114"/>
      <c r="E34" s="114"/>
      <c r="F34" s="114"/>
      <c r="G34" s="114"/>
      <c r="H34" s="115"/>
      <c r="I34" s="1"/>
    </row>
    <row r="35" spans="1:9" x14ac:dyDescent="0.25">
      <c r="A35" s="1"/>
      <c r="B35" s="116" t="s">
        <v>78</v>
      </c>
      <c r="C35" s="117"/>
      <c r="D35" s="117"/>
      <c r="E35" s="117"/>
      <c r="F35" s="118"/>
      <c r="G35" s="24">
        <f>(G29+G30-G31)*(1+'Fane 12. Nøgletal'!C13)</f>
        <v>13262599.036171522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1090741.50729769</v>
      </c>
      <c r="H36" s="14" t="s">
        <v>3</v>
      </c>
      <c r="I36" s="38"/>
    </row>
    <row r="37" spans="1:9" x14ac:dyDescent="0.25">
      <c r="A37" s="1"/>
      <c r="B37" s="116" t="s">
        <v>194</v>
      </c>
      <c r="C37" s="117"/>
      <c r="D37" s="117"/>
      <c r="E37" s="117"/>
      <c r="F37" s="118"/>
      <c r="G37" s="24">
        <f>SUM('Fane 2.1. Økonomisk ramme 2022'!C13,'Fane 2.1. Økonomisk ramme 2022'!C15,'Fane 2.1. Økonomisk ramme 2022'!C17)*(1+'Fane 12. Nøgletal'!C14)</f>
        <v>1223083.5685053901</v>
      </c>
      <c r="H37" s="14" t="s">
        <v>3</v>
      </c>
      <c r="I37" s="1"/>
    </row>
    <row r="38" spans="1:9" x14ac:dyDescent="0.25">
      <c r="A38" s="1"/>
      <c r="B38" s="116" t="s">
        <v>179</v>
      </c>
      <c r="C38" s="117"/>
      <c r="D38" s="117"/>
      <c r="E38" s="117"/>
      <c r="F38" s="118"/>
      <c r="G38" s="24">
        <f>G35*'Fane 12. Nøgletal'!C23+G37*'Fane 12. Nøgletal'!C24</f>
        <v>382823.11030859663</v>
      </c>
      <c r="H38" s="14" t="s">
        <v>3</v>
      </c>
      <c r="I38" s="1"/>
    </row>
    <row r="39" spans="1:9" x14ac:dyDescent="0.25">
      <c r="A39" s="1"/>
      <c r="B39" s="59"/>
      <c r="C39" s="60"/>
      <c r="D39" s="60"/>
      <c r="E39" s="60"/>
      <c r="F39" s="60"/>
      <c r="G39" s="60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3" t="s">
        <v>82</v>
      </c>
      <c r="C41" s="114"/>
      <c r="D41" s="114"/>
      <c r="E41" s="114"/>
      <c r="F41" s="114"/>
      <c r="G41" s="114"/>
      <c r="H41" s="115"/>
      <c r="I41" s="1"/>
    </row>
    <row r="42" spans="1:9" x14ac:dyDescent="0.25">
      <c r="A42" s="1"/>
      <c r="B42" s="116" t="s">
        <v>77</v>
      </c>
      <c r="C42" s="117"/>
      <c r="D42" s="117"/>
      <c r="E42" s="117"/>
      <c r="F42" s="118"/>
      <c r="G42" s="24">
        <f>(G35+G37-G38)*(1+'Fane 12. Nøgletal'!C14)</f>
        <v>14149398.930699732</v>
      </c>
      <c r="H42" s="14" t="s">
        <v>3</v>
      </c>
      <c r="I42" s="1"/>
    </row>
    <row r="43" spans="1:9" x14ac:dyDescent="0.25">
      <c r="A43" s="1"/>
      <c r="B43" s="116" t="s">
        <v>96</v>
      </c>
      <c r="C43" s="117"/>
      <c r="D43" s="117"/>
      <c r="E43" s="117"/>
      <c r="F43" s="118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6" t="s">
        <v>76</v>
      </c>
      <c r="C44" s="117"/>
      <c r="D44" s="117"/>
      <c r="E44" s="117"/>
      <c r="F44" s="118"/>
      <c r="G44" s="24">
        <f>(G42+G43)*'Fane 12. Nøgletal'!C24</f>
        <v>209411.10417435603</v>
      </c>
      <c r="H44" s="14" t="s">
        <v>3</v>
      </c>
      <c r="I44" s="1"/>
    </row>
    <row r="45" spans="1:9" x14ac:dyDescent="0.25">
      <c r="A45" s="1"/>
      <c r="B45" s="59"/>
      <c r="C45" s="60"/>
      <c r="D45" s="60"/>
      <c r="E45" s="60"/>
      <c r="F45" s="60"/>
      <c r="G45" s="60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3" t="s">
        <v>153</v>
      </c>
      <c r="C47" s="114"/>
      <c r="D47" s="114"/>
      <c r="E47" s="114"/>
      <c r="F47" s="114"/>
      <c r="G47" s="114"/>
      <c r="H47" s="115"/>
      <c r="I47" s="1"/>
    </row>
    <row r="48" spans="1:9" x14ac:dyDescent="0.25">
      <c r="A48" s="1"/>
      <c r="B48" s="116" t="s">
        <v>154</v>
      </c>
      <c r="C48" s="117"/>
      <c r="D48" s="117"/>
      <c r="E48" s="117"/>
      <c r="F48" s="118"/>
      <c r="G48" s="24">
        <f>(G42+G43-G44)*(1+'Fane 12. Nøgletal'!C14)</f>
        <v>13985989.78635291</v>
      </c>
      <c r="H48" s="14" t="s">
        <v>3</v>
      </c>
      <c r="I48" s="1"/>
    </row>
    <row r="49" spans="1:9" x14ac:dyDescent="0.25">
      <c r="A49" s="1"/>
      <c r="B49" s="116" t="s">
        <v>155</v>
      </c>
      <c r="C49" s="117"/>
      <c r="D49" s="117"/>
      <c r="E49" s="117"/>
      <c r="F49" s="118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6" t="s">
        <v>156</v>
      </c>
      <c r="C50" s="117"/>
      <c r="D50" s="117"/>
      <c r="E50" s="117"/>
      <c r="F50" s="118"/>
      <c r="G50" s="24">
        <f>(G48+G49)*'Fane 12. Nøgletal'!C24</f>
        <v>206992.64883802307</v>
      </c>
      <c r="H50" s="14" t="s">
        <v>3</v>
      </c>
      <c r="I50" s="1"/>
    </row>
    <row r="51" spans="1:9" x14ac:dyDescent="0.25">
      <c r="A51" s="1"/>
      <c r="B51" s="59"/>
      <c r="C51" s="60"/>
      <c r="D51" s="60"/>
      <c r="E51" s="60"/>
      <c r="F51" s="60"/>
      <c r="G51" s="60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3" t="s">
        <v>195</v>
      </c>
      <c r="C53" s="114"/>
      <c r="D53" s="114"/>
      <c r="E53" s="114"/>
      <c r="F53" s="114"/>
      <c r="G53" s="114"/>
      <c r="H53" s="115"/>
      <c r="I53" s="1"/>
    </row>
    <row r="54" spans="1:9" x14ac:dyDescent="0.25">
      <c r="A54" s="1"/>
      <c r="B54" s="116" t="s">
        <v>196</v>
      </c>
      <c r="C54" s="117"/>
      <c r="D54" s="117"/>
      <c r="E54" s="117"/>
      <c r="F54" s="118"/>
      <c r="G54" s="24">
        <f>(G48+G49-G50)*(1+'Fane 12. Nøgletal'!C14)</f>
        <v>13824467.828068689</v>
      </c>
      <c r="H54" s="14" t="s">
        <v>3</v>
      </c>
      <c r="I54" s="1"/>
    </row>
    <row r="55" spans="1:9" x14ac:dyDescent="0.25">
      <c r="A55" s="1"/>
      <c r="B55" s="116" t="s">
        <v>197</v>
      </c>
      <c r="C55" s="117"/>
      <c r="D55" s="117"/>
      <c r="E55" s="117"/>
      <c r="F55" s="118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6" t="s">
        <v>198</v>
      </c>
      <c r="C56" s="117"/>
      <c r="D56" s="117"/>
      <c r="E56" s="117"/>
      <c r="F56" s="118"/>
      <c r="G56" s="24">
        <f>(G54+G55)*'Fane 12. Nøgletal'!C24</f>
        <v>204602.1238554166</v>
      </c>
      <c r="H56" s="14" t="s">
        <v>3</v>
      </c>
      <c r="I56" s="1"/>
    </row>
    <row r="57" spans="1:9" x14ac:dyDescent="0.25">
      <c r="A57" s="1"/>
      <c r="B57" s="59"/>
      <c r="C57" s="60"/>
      <c r="D57" s="60"/>
      <c r="E57" s="60"/>
      <c r="F57" s="60"/>
      <c r="G57" s="60"/>
      <c r="H57" s="20"/>
      <c r="I57" s="1"/>
    </row>
  </sheetData>
  <sheetProtection algorithmName="SHA-512" hashValue="ZHpPsnm3nblHRAxKp3x3HawdpZiH0FYBZogrKJ+1bkUzeuup7U2DETaJ1T3GWG12gjTXisqszvp1frav/LgZnw==" saltValue="qjeEEEQUWSmUOPOlSfh/1w==" spinCount="100000" sheet="1" objects="1" scenarios="1"/>
  <mergeCells count="37"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91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3" t="s">
        <v>9</v>
      </c>
      <c r="C8" s="114"/>
      <c r="D8" s="114"/>
      <c r="E8" s="114"/>
      <c r="F8" s="114"/>
      <c r="G8" s="114"/>
      <c r="H8" s="115"/>
      <c r="I8" s="1"/>
    </row>
    <row r="9" spans="1:9" x14ac:dyDescent="0.25">
      <c r="A9" s="1"/>
      <c r="B9" s="116" t="s">
        <v>105</v>
      </c>
      <c r="C9" s="117"/>
      <c r="D9" s="117"/>
      <c r="E9" s="117"/>
      <c r="F9" s="118"/>
      <c r="G9" s="44">
        <v>0.02</v>
      </c>
      <c r="H9" s="14"/>
      <c r="I9" s="1"/>
    </row>
    <row r="10" spans="1:9" x14ac:dyDescent="0.25">
      <c r="A10" s="1"/>
      <c r="B10" s="116" t="s">
        <v>141</v>
      </c>
      <c r="C10" s="117"/>
      <c r="D10" s="117"/>
      <c r="E10" s="117"/>
      <c r="F10" s="118"/>
      <c r="G10" s="44">
        <v>0.02</v>
      </c>
      <c r="H10" s="14"/>
      <c r="I10" s="1"/>
    </row>
    <row r="11" spans="1:9" x14ac:dyDescent="0.25">
      <c r="A11" s="1"/>
      <c r="B11" s="59"/>
      <c r="C11" s="60"/>
      <c r="D11" s="60"/>
      <c r="E11" s="60"/>
      <c r="F11" s="60"/>
      <c r="G11" s="60"/>
      <c r="H11" s="20"/>
      <c r="I11" s="1"/>
    </row>
    <row r="12" spans="1:9" ht="14.25" customHeight="1" x14ac:dyDescent="0.25">
      <c r="A12" s="1"/>
      <c r="B12" s="125" t="s">
        <v>192</v>
      </c>
      <c r="C12" s="126"/>
      <c r="D12" s="126"/>
      <c r="E12" s="126"/>
      <c r="F12" s="126"/>
      <c r="G12" s="126"/>
      <c r="H12" s="127"/>
      <c r="I12" s="1"/>
    </row>
    <row r="13" spans="1:9" ht="12.75" customHeight="1" x14ac:dyDescent="0.25">
      <c r="A13" s="18"/>
      <c r="B13" s="128"/>
      <c r="C13" s="129"/>
      <c r="D13" s="129"/>
      <c r="E13" s="129"/>
      <c r="F13" s="129"/>
      <c r="G13" s="129"/>
      <c r="H13" s="130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T+MXsHfR4iGfbguhkn2qOeujU2txQcdPCf1VFV8XhVYjiOVI8tT+jPowHQE570r5VpLYZDzkhHxPeJzD3wrPTw==" saltValue="TlfJ6V6jx1cmnfDnZP59I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2021-09-22T11:25:41Z</dcterms:modified>
</cp:coreProperties>
</file>