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erlev AS (S043)\ØR2025\"/>
    </mc:Choice>
  </mc:AlternateContent>
  <xr:revisionPtr revIDLastSave="0" documentId="13_ncr:1_{259108C5-3A69-4DB0-BFF5-F0A6766907D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<sst xmlns="http://schemas.openxmlformats.org/spreadsheetml/2006/main" count="552" uniqueCount="237">
  <si>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</si>
  <si>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</si>
  <si>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</si>
  <si>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</si>
  <si>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</si>
  <si>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</si>
  <si>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</si>
  <si>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</si>
  <si>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</si>
  <si>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</si>
  <si>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</si>
  <si>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</si>
  <si>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</si>
  <si>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</si>
  <si>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</si>
  <si>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</si>
  <si>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</si>
  <si>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</si>
  <si>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</si>
  <si>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</si>
  <si>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</si>
  <si>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</si>
  <si>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</si>
  <si>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</si>
  <si>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</si>
  <si>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</si>
  <si>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</si>
  <si>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</si>
  <si>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</si>
  <si>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</si>
  <si>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</si>
  <si>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</si>
  <si>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</si>
  <si>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</si>
  <si>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</si>
  <si>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</si>
  <si>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</si>
  <si>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</si>
  <si>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</si>
  <si>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</si>
  <si>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</si>
  <si>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</si>
  <si>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</si>
  <si>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</si>
  <si>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</si>
  <si>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</si>
  <si>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</si>
  <si>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</si>
  <si>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</si>
  <si>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</si>
  <si>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</si>
  <si>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</si>
  <si>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</si>
  <si>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</si>
  <si>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</si>
  <si>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</si>
  <si>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</si>
  <si>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</si>
  <si>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</si>
  <si>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</si>
  <si>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</si>
  <si>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</si>
  <si>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</si>
  <si>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</si>
  <si>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</si>
  <si>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</si>
  <si>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</si>
  <si>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</si>
  <si>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</si>
  <si>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</si>
  <si>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</si>
  <si>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</si>
  <si>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</si>
  <si>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</si>
  <si>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</si>
  <si>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</si>
  <si>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</si>
  <si>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</si>
  <si>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</si>
  <si>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</si>
  <si>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</si>
  <si>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</si>
  <si>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</si>
  <si>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</si>
  <si>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</si>
  <si>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</si>
  <si>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</si>
  <si>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</si>
  <si>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</si>
  <si>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</si>
  <si>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</si>
  <si>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</si>
  <si>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</si>
  <si>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</si>
  <si>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</si>
  <si>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</si>
  <si>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</si>
  <si>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</si>
  <si>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</si>
  <si>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</si>
  <si>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</si>
  <si>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</si>
  <si>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</si>
  <si>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</si>
  <si>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</si>
  <si>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</si>
  <si>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</si>
  <si>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</si>
  <si>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</si>
  <si>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</si>
  <si>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</si>
  <si>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</si>
  <si>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</si>
  <si>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</si>
  <si>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</si>
  <si>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</si>
  <si>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</si>
  <si>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</si>
  <si>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</si>
  <si>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</si>
  <si>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</si>
  <si>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</si>
  <si>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</si>
  <si>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</si>
  <si>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</si>
  <si>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</si>
  <si>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</si>
  <si>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</si>
  <si>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</si>
  <si>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</si>
  <si>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</si>
  <si>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</si>
  <si>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</si>
  <si>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</si>
  <si>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</si>
  <si>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</si>
  <si>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</si>
  <si>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</si>
  <si>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</si>
  <si>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</si>
  <si>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</si>
  <si>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</si>
  <si>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</si>
  <si>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</si>
  <si>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</si>
  <si>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</si>
  <si>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</si>
  <si>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</si>
  <si>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</si>
  <si>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</si>
  <si>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</si>
  <si>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</si>
  <si>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</si>
  <si>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</si>
  <si>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</si>
  <si>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</si>
  <si>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</si>
  <si>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</si>
  <si>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</si>
  <si>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</si>
  <si>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</si>
  <si>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</si>
  <si>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</si>
  <si>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</si>
  <si>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</si>
  <si>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</si>
  <si>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</si>
  <si>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</si>
  <si>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</si>
  <si>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</si>
  <si>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</si>
  <si>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</si>
  <si>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</si>
  <si>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</si>
  <si>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</si>
  <si>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</si>
  <si>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</si>
  <si>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</si>
  <si>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</si>
  <si>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</si>
  <si>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</si>
  <si>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</si>
  <si>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</si>
  <si>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</si>
  <si>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</si>
  <si>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</si>
  <si>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</si>
  <si>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</si>
  <si>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</si>
  <si>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</si>
  <si>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</si>
  <si>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</si>
  <si>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</si>
  <si>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</si>
  <si>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</si>
  <si>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</si>
  <si>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</si>
  <si>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</si>
  <si>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</si>
  <si>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</si>
  <si>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</si>
  <si>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</si>
  <si>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</si>
  <si>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</si>
  <si>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</si>
  <si>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</si>
  <si>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</si>
  <si>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</si>
  <si>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</si>
  <si>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</si>
  <si>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</si>
  <si>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</si>
  <si>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</si>
  <si>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</si>
  <si>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</si>
  <si>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</si>
  <si>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</si>
  <si>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</si>
  <si>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</si>
  <si>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</si>
  <si>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</si>
  <si>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</si>
  <si>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</si>
  <si>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</si>
  <si>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</si>
  <si>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</si>
  <si>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</si>
  <si>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</si>
  <si>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</si>
  <si>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Til statusmeddelelse for 2025</t>
  </si>
  <si>
    <t>Masterplaner</t>
  </si>
  <si>
    <t>Letbane Ring 3</t>
  </si>
  <si>
    <t>Byudvikling Smedeholmen Vesterlundvej</t>
  </si>
  <si>
    <t>Havfruevej m.m.</t>
  </si>
  <si>
    <t>Øget antal indbyggere</t>
  </si>
  <si>
    <t>Harrestrup Å</t>
  </si>
  <si>
    <t>Periodevise driftsomkostninger - oprensning Hækmosen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</si>
</sst>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8" fillId="8" borderId="2" xfId="0" applyFont="1" applyFill="1" applyBorder="1" applyAlignment="1" applyProtection="1">
      <alignment vertical="top"/>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229</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85" t="s">
        <v>186</v>
      </c>
      <c r="D14" s="86"/>
      <c r="E14" s="86"/>
      <c r="F14" s="87"/>
      <c r="G14" s="5"/>
    </row>
    <row r="15" spans="1:7" x14ac:dyDescent="0.25">
      <c r="A15" s="1"/>
      <c r="B15" s="6" t="s">
        <v>30</v>
      </c>
      <c r="C15" s="85" t="s">
        <v>149</v>
      </c>
      <c r="D15" s="86"/>
      <c r="E15" s="86"/>
      <c r="F15" s="87"/>
      <c r="G15" s="5"/>
    </row>
    <row r="16" spans="1:7" x14ac:dyDescent="0.25">
      <c r="A16" s="1"/>
      <c r="B16" s="6" t="s">
        <v>31</v>
      </c>
      <c r="C16" s="85" t="s">
        <v>151</v>
      </c>
      <c r="D16" s="86"/>
      <c r="E16" s="86"/>
      <c r="F16" s="87"/>
      <c r="G16" s="5"/>
    </row>
    <row r="17" spans="1:8" x14ac:dyDescent="0.25">
      <c r="A17" s="1"/>
      <c r="B17" s="6" t="s">
        <v>61</v>
      </c>
      <c r="C17" s="85" t="s">
        <v>152</v>
      </c>
      <c r="D17" s="86"/>
      <c r="E17" s="86"/>
      <c r="F17" s="87"/>
      <c r="G17" s="5"/>
    </row>
    <row r="18" spans="1:8" x14ac:dyDescent="0.25">
      <c r="A18" s="1"/>
      <c r="B18" s="6" t="s">
        <v>53</v>
      </c>
      <c r="C18" s="97" t="s">
        <v>45</v>
      </c>
      <c r="D18" s="98"/>
      <c r="E18" s="98"/>
      <c r="F18" s="99"/>
      <c r="G18" s="5"/>
    </row>
    <row r="19" spans="1:8" x14ac:dyDescent="0.25">
      <c r="A19" s="1"/>
      <c r="B19" s="6" t="s">
        <v>54</v>
      </c>
      <c r="C19" s="97" t="s">
        <v>46</v>
      </c>
      <c r="D19" s="98"/>
      <c r="E19" s="98"/>
      <c r="F19" s="99"/>
      <c r="G19" s="5"/>
    </row>
    <row r="20" spans="1:8" x14ac:dyDescent="0.25">
      <c r="A20" s="1"/>
      <c r="B20" s="6" t="s">
        <v>7</v>
      </c>
      <c r="C20" s="97" t="s">
        <v>10</v>
      </c>
      <c r="D20" s="98"/>
      <c r="E20" s="98"/>
      <c r="F20" s="99"/>
      <c r="G20" s="5"/>
    </row>
    <row r="21" spans="1:8" x14ac:dyDescent="0.25">
      <c r="A21" s="1"/>
      <c r="B21" s="6" t="s">
        <v>55</v>
      </c>
      <c r="C21" s="89" t="s">
        <v>12</v>
      </c>
      <c r="D21" s="90"/>
      <c r="E21" s="90"/>
      <c r="F21" s="91"/>
      <c r="G21" s="5"/>
    </row>
    <row r="22" spans="1:8" x14ac:dyDescent="0.25">
      <c r="A22" s="1"/>
      <c r="B22" s="6" t="s">
        <v>39</v>
      </c>
      <c r="C22" s="92" t="s">
        <v>153</v>
      </c>
      <c r="D22" s="93"/>
      <c r="E22" s="93"/>
      <c r="F22" s="94"/>
      <c r="G22" s="5"/>
    </row>
    <row r="23" spans="1:8" x14ac:dyDescent="0.25">
      <c r="A23" s="1"/>
      <c r="B23" s="6" t="s">
        <v>8</v>
      </c>
      <c r="C23" s="92" t="s">
        <v>112</v>
      </c>
      <c r="D23" s="93"/>
      <c r="E23" s="93"/>
      <c r="F23" s="94"/>
      <c r="G23" s="5"/>
    </row>
    <row r="24" spans="1:8" x14ac:dyDescent="0.25">
      <c r="A24" s="1"/>
      <c r="B24" s="6" t="s">
        <v>9</v>
      </c>
      <c r="C24" s="92" t="s">
        <v>154</v>
      </c>
      <c r="D24" s="93"/>
      <c r="E24" s="93"/>
      <c r="F24" s="94"/>
      <c r="G24" s="5"/>
    </row>
    <row r="25" spans="1:8" x14ac:dyDescent="0.25">
      <c r="A25" s="1"/>
      <c r="B25" s="6" t="s">
        <v>97</v>
      </c>
      <c r="C25" s="92" t="s">
        <v>91</v>
      </c>
      <c r="D25" s="93"/>
      <c r="E25" s="93"/>
      <c r="F25" s="94"/>
      <c r="G25" s="1"/>
    </row>
    <row r="26" spans="1:8" x14ac:dyDescent="0.25">
      <c r="A26" s="1"/>
      <c r="B26" s="6" t="s">
        <v>98</v>
      </c>
      <c r="C26" s="92" t="s">
        <v>40</v>
      </c>
      <c r="D26" s="93"/>
      <c r="E26" s="93"/>
      <c r="F26" s="94"/>
      <c r="G26" s="1"/>
    </row>
    <row r="27" spans="1:8" x14ac:dyDescent="0.25">
      <c r="A27" s="1"/>
      <c r="B27" s="6" t="s">
        <v>99</v>
      </c>
      <c r="C27" s="92" t="s">
        <v>41</v>
      </c>
      <c r="D27" s="93"/>
      <c r="E27" s="93"/>
      <c r="F27" s="94"/>
      <c r="G27" s="1"/>
    </row>
    <row r="28" spans="1:8" x14ac:dyDescent="0.25">
      <c r="A28" s="1"/>
      <c r="B28" s="6" t="s">
        <v>15</v>
      </c>
      <c r="C28" s="92" t="s">
        <v>42</v>
      </c>
      <c r="D28" s="93"/>
      <c r="E28" s="93"/>
      <c r="F28" s="94"/>
      <c r="G28" s="1"/>
      <c r="H28" s="2" t="s">
        <v>150</v>
      </c>
    </row>
    <row r="29" spans="1:8" x14ac:dyDescent="0.25">
      <c r="A29" s="1"/>
      <c r="B29" s="6" t="s">
        <v>33</v>
      </c>
      <c r="C29" s="92" t="s">
        <v>68</v>
      </c>
      <c r="D29" s="93"/>
      <c r="E29" s="93"/>
      <c r="F29" s="94"/>
      <c r="G29" s="1"/>
    </row>
    <row r="30" spans="1:8" x14ac:dyDescent="0.25">
      <c r="A30" s="1"/>
      <c r="B30" s="6" t="s">
        <v>34</v>
      </c>
      <c r="C30" s="92" t="s">
        <v>32</v>
      </c>
      <c r="D30" s="93"/>
      <c r="E30" s="93"/>
      <c r="F30" s="94"/>
      <c r="G30" s="1"/>
    </row>
    <row r="31" spans="1:8" x14ac:dyDescent="0.25">
      <c r="A31" s="1"/>
      <c r="B31" s="6" t="s">
        <v>100</v>
      </c>
      <c r="C31" s="103" t="s">
        <v>52</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084SBWVwHnFGmvCMGnt7z/Nlf/HXsfd6L0f7bWAPNLsIJLkOfxX4Ct1bRxe70i1bCLHspFqRfrRdE3yv2dUXA==" saltValue="jw3NjcUmYqwej7G5xGvsP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2" t="s">
        <v>226</v>
      </c>
      <c r="C10" s="73">
        <v>69328</v>
      </c>
      <c r="D10" s="14" t="s">
        <v>3</v>
      </c>
      <c r="E10" s="1"/>
    </row>
    <row r="11" spans="1:5" ht="15" customHeight="1" x14ac:dyDescent="0.25">
      <c r="A11" s="1"/>
      <c r="B11" s="74" t="s">
        <v>227</v>
      </c>
      <c r="C11" s="73">
        <v>10333195</v>
      </c>
      <c r="D11" s="14" t="s">
        <v>3</v>
      </c>
      <c r="E11" s="1"/>
    </row>
    <row r="12" spans="1:5" x14ac:dyDescent="0.25">
      <c r="A12" s="1"/>
      <c r="B12" s="72" t="s">
        <v>228</v>
      </c>
      <c r="C12" s="73">
        <v>566662</v>
      </c>
      <c r="D12" s="14" t="s">
        <v>3</v>
      </c>
      <c r="E12" s="1"/>
    </row>
    <row r="13" spans="1:5" x14ac:dyDescent="0.25">
      <c r="A13" s="1"/>
      <c r="B13" s="72"/>
      <c r="C13" s="73"/>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10969185</v>
      </c>
      <c r="D20" s="13" t="s">
        <v>3</v>
      </c>
      <c r="E20" s="1"/>
    </row>
    <row r="21" spans="1:5" x14ac:dyDescent="0.25">
      <c r="A21" s="1"/>
      <c r="B21" s="33" t="s">
        <v>168</v>
      </c>
      <c r="C21" s="12">
        <f>C20*(1+'Fane 15. Nøgletal'!C10)^2</f>
        <v>12471916.06781265</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4iUkY6tD0BDyCPozsVfDmUwDLot/GpcyAL2jxXmQ2U6sloNW7Mo3F9jrfajpx919UVT54jwUc64vXNXKsCEeOw==" saltValue="I1l9yhTAez5go6Pxu/fXZ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77</v>
      </c>
      <c r="C8" s="111"/>
      <c r="D8" s="112"/>
      <c r="E8" s="1"/>
    </row>
    <row r="9" spans="1:5" x14ac:dyDescent="0.25">
      <c r="A9" s="1"/>
      <c r="B9" s="65" t="s">
        <v>204</v>
      </c>
      <c r="C9" s="9">
        <v>-635027.91789006442</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-194242</v>
      </c>
      <c r="D14" s="14" t="s">
        <v>3</v>
      </c>
      <c r="E14" s="1"/>
    </row>
    <row r="15" spans="1:5" x14ac:dyDescent="0.25">
      <c r="A15" s="1"/>
      <c r="B15" s="65" t="s">
        <v>203</v>
      </c>
      <c r="C15" s="9">
        <v>-194242</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8" t="s">
        <v>205</v>
      </c>
      <c r="C19" s="79"/>
      <c r="D19" s="80"/>
      <c r="E19" s="1"/>
    </row>
    <row r="20" spans="1:5" x14ac:dyDescent="0.25">
      <c r="A20" s="1"/>
      <c r="B20" s="65" t="s">
        <v>206</v>
      </c>
      <c r="C20" s="9">
        <v>42448559.596663617</v>
      </c>
      <c r="D20" s="14" t="s">
        <v>3</v>
      </c>
      <c r="E20" s="1"/>
    </row>
    <row r="21" spans="1:5" x14ac:dyDescent="0.25">
      <c r="A21" s="1"/>
      <c r="B21" s="65" t="s">
        <v>207</v>
      </c>
      <c r="C21" s="9">
        <v>38759101</v>
      </c>
      <c r="D21" s="14" t="s">
        <v>3</v>
      </c>
      <c r="E21" s="1"/>
    </row>
    <row r="22" spans="1:5" x14ac:dyDescent="0.25">
      <c r="A22" s="1"/>
      <c r="B22" s="65" t="s">
        <v>29</v>
      </c>
      <c r="C22" s="9">
        <v>0</v>
      </c>
      <c r="D22" s="14" t="s">
        <v>3</v>
      </c>
      <c r="E22" s="1"/>
    </row>
    <row r="23" spans="1:5" x14ac:dyDescent="0.25">
      <c r="A23" s="1"/>
      <c r="B23" s="84" t="s">
        <v>208</v>
      </c>
      <c r="C23" s="57">
        <f>C20-C21-C22</f>
        <v>3689458.5966636166</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4" t="s">
        <v>210</v>
      </c>
      <c r="C27" s="57">
        <f>IF(AND(C15&lt;0,C23&gt;0,ABS(SUM(C14:C15))&lt;C23),ABS(C14),IF(AND(C15&lt;0,C23&gt;0,ABS(SUM(C14:C15))&gt;C23),SUM(C14,C23),C15))</f>
        <v>194242</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pUnPnPmb6HgjIYXDG4eXY9X+JpTsss2TNz8yCeAPNi4l2SVfIh8lehpbjA/fdUQblm7HG86uYhz/9jJgE3shJg==" saltValue="XPblxwBJr+oMcoxhLLRAx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8"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NeDBlN2fXWbnWgm/IwrABKlGThldORgk0MmnF3G9DTPy/tPRq+oE35eu08WAYfm+b2LvqVoj70IfV044Uprlw==" saltValue="4ivGVnuoNICgf/Uij3vRp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1" t="s">
        <v>215</v>
      </c>
      <c r="C9" s="7">
        <v>0</v>
      </c>
      <c r="D9" s="8" t="s">
        <v>3</v>
      </c>
      <c r="E9" s="1"/>
    </row>
    <row r="10" spans="1:5" ht="14.25" customHeight="1" x14ac:dyDescent="0.25">
      <c r="A10" s="1"/>
      <c r="B10" s="65" t="s">
        <v>172</v>
      </c>
      <c r="C10" s="7">
        <v>0</v>
      </c>
      <c r="D10" s="8" t="s">
        <v>3</v>
      </c>
      <c r="E10" s="1"/>
    </row>
    <row r="11" spans="1:5" ht="14.25" customHeight="1" x14ac:dyDescent="0.25">
      <c r="A11" s="1"/>
      <c r="B11" s="84" t="s">
        <v>48</v>
      </c>
      <c r="C11" s="10">
        <f>C10-C9</f>
        <v>0</v>
      </c>
      <c r="D11" s="11" t="s">
        <v>3</v>
      </c>
      <c r="E11" s="1"/>
    </row>
    <row r="12" spans="1:5" ht="14.25" customHeight="1" x14ac:dyDescent="0.25">
      <c r="A12" s="1"/>
      <c r="B12" s="110" t="s">
        <v>217</v>
      </c>
      <c r="C12" s="111"/>
      <c r="D12" s="112"/>
      <c r="E12" s="1"/>
    </row>
    <row r="13" spans="1:5" ht="26.25" x14ac:dyDescent="0.25">
      <c r="A13" s="1"/>
      <c r="B13" s="81" t="s">
        <v>216</v>
      </c>
      <c r="C13" s="7">
        <v>0</v>
      </c>
      <c r="D13" s="8" t="s">
        <v>3</v>
      </c>
      <c r="E13" s="1"/>
    </row>
    <row r="14" spans="1:5" ht="14.25" customHeight="1" x14ac:dyDescent="0.25">
      <c r="A14" s="1"/>
      <c r="B14" s="65" t="s">
        <v>173</v>
      </c>
      <c r="C14" s="7">
        <v>0</v>
      </c>
      <c r="D14" s="8" t="s">
        <v>3</v>
      </c>
      <c r="E14" s="1"/>
    </row>
    <row r="15" spans="1:5" ht="14.25" customHeight="1" x14ac:dyDescent="0.25">
      <c r="A15" s="1"/>
      <c r="B15" s="84"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GKao7KZ6rj7mzD1uZLBjajLMTiB/tiVYkJaGYgQ9jVB6M/P10hUJhSTeEnwfWwqQ6UdMifTTFz5dtPZLIzsTfQ==" saltValue="XWIQJUPvl7jHxDe+EbmZY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8" t="s">
        <v>219</v>
      </c>
      <c r="C11" s="79"/>
      <c r="D11" s="80"/>
      <c r="E11" s="80"/>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F0h5Mt4x0xyfc4HLgSi4o+GcZD80Wv99q79GUjpAK84h0453TDgqMz15WVI5gGI2dbVYZPqN6uGcCd89D6Oh9A==" saltValue="B3ypqPPV88Nz8OsqdnLWq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2" t="s">
        <v>17</v>
      </c>
      <c r="C9" s="84" t="s">
        <v>11</v>
      </c>
      <c r="D9" s="83"/>
      <c r="E9" s="84"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90113</v>
      </c>
      <c r="D11" s="14" t="s">
        <v>3</v>
      </c>
      <c r="E11" s="9">
        <v>0</v>
      </c>
      <c r="F11" s="14" t="s">
        <v>3</v>
      </c>
      <c r="G11" s="1"/>
    </row>
    <row r="12" spans="1:7" x14ac:dyDescent="0.25">
      <c r="A12" s="1"/>
      <c r="B12" s="24" t="s">
        <v>231</v>
      </c>
      <c r="C12" s="21">
        <v>0</v>
      </c>
      <c r="D12" s="14" t="s">
        <v>3</v>
      </c>
      <c r="E12" s="9">
        <v>6515</v>
      </c>
      <c r="F12" s="14" t="s">
        <v>3</v>
      </c>
      <c r="G12" s="1"/>
    </row>
    <row r="13" spans="1:7" x14ac:dyDescent="0.25">
      <c r="A13" s="1"/>
      <c r="B13" s="24" t="s">
        <v>232</v>
      </c>
      <c r="C13" s="21">
        <v>0</v>
      </c>
      <c r="D13" s="14" t="s">
        <v>3</v>
      </c>
      <c r="E13" s="9">
        <v>45232</v>
      </c>
      <c r="F13" s="14" t="s">
        <v>3</v>
      </c>
      <c r="G13" s="1"/>
    </row>
    <row r="14" spans="1:7" x14ac:dyDescent="0.25">
      <c r="A14" s="1"/>
      <c r="B14" s="24" t="s">
        <v>233</v>
      </c>
      <c r="C14" s="21">
        <v>0</v>
      </c>
      <c r="D14" s="14" t="s">
        <v>3</v>
      </c>
      <c r="E14" s="9">
        <v>16887</v>
      </c>
      <c r="F14" s="14" t="s">
        <v>3</v>
      </c>
      <c r="G14" s="1"/>
    </row>
    <row r="15" spans="1:7" x14ac:dyDescent="0.25">
      <c r="A15" s="1"/>
      <c r="B15" s="24" t="s">
        <v>234</v>
      </c>
      <c r="C15" s="21">
        <v>280014</v>
      </c>
      <c r="D15" s="14" t="s">
        <v>3</v>
      </c>
      <c r="E15" s="9">
        <v>0</v>
      </c>
      <c r="F15" s="14" t="s">
        <v>3</v>
      </c>
      <c r="G15" s="1"/>
    </row>
    <row r="16" spans="1:7" ht="26.25" x14ac:dyDescent="0.25">
      <c r="A16" s="1"/>
      <c r="B16" s="70" t="s">
        <v>236</v>
      </c>
      <c r="C16" s="21">
        <v>314053</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684180</v>
      </c>
      <c r="D19" s="13" t="s">
        <v>3</v>
      </c>
      <c r="E19" s="12">
        <f>SUM(E10:E18)</f>
        <v>68634</v>
      </c>
      <c r="F19" s="13" t="s">
        <v>3</v>
      </c>
      <c r="G19" s="1"/>
    </row>
    <row r="20" spans="1:7" x14ac:dyDescent="0.25">
      <c r="A20" s="1"/>
      <c r="B20" s="33" t="s">
        <v>175</v>
      </c>
      <c r="C20" s="12">
        <f>C19*(1+'Fane 15. Nøgletal'!C10)</f>
        <v>729541.13399999996</v>
      </c>
      <c r="D20" s="13" t="s">
        <v>3</v>
      </c>
      <c r="E20" s="12">
        <f>E19*(1+'Fane 15. Nøgletal'!C10)</f>
        <v>73184.434200000003</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4oQmXvXCN0CEl8rprhePN4XoeT2Pxcdwzehf/mvFrCy0saRPfKKr5Aj9TwQJV7/utiInj5ffjP+5/eosRbSbg==" saltValue="sJ2YjN7LQXTaRpSBXxNZu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2" t="s">
        <v>17</v>
      </c>
      <c r="C9" s="84" t="s">
        <v>11</v>
      </c>
      <c r="D9" s="83"/>
      <c r="E9" s="84" t="s">
        <v>27</v>
      </c>
      <c r="F9" s="32"/>
      <c r="G9" s="1"/>
    </row>
    <row r="10" spans="1:7" x14ac:dyDescent="0.25">
      <c r="A10" s="1"/>
      <c r="B10" s="24" t="s">
        <v>235</v>
      </c>
      <c r="C10" s="21">
        <v>1329303</v>
      </c>
      <c r="D10" s="14" t="s">
        <v>3</v>
      </c>
      <c r="E10" s="9">
        <v>0</v>
      </c>
      <c r="F10" s="14" t="s">
        <v>3</v>
      </c>
      <c r="G10" s="1"/>
    </row>
    <row r="11" spans="1:7" ht="26.25" x14ac:dyDescent="0.25">
      <c r="A11" s="1"/>
      <c r="B11" s="70" t="s">
        <v>236</v>
      </c>
      <c r="C11" s="21">
        <v>4710800</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6040103</v>
      </c>
      <c r="D13" s="13" t="s">
        <v>3</v>
      </c>
      <c r="E13" s="12">
        <f>SUM(E10:E12)</f>
        <v>0</v>
      </c>
      <c r="F13" s="13" t="s">
        <v>3</v>
      </c>
      <c r="G13" s="1"/>
    </row>
    <row r="14" spans="1:7" x14ac:dyDescent="0.25">
      <c r="A14" s="1"/>
      <c r="B14" s="33" t="s">
        <v>178</v>
      </c>
      <c r="C14" s="12">
        <f>C13*(1+'Fane 15. Nøgletal'!C10)^2</f>
        <v>6867571.0781560699</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y6T+w/tJKe6W2eCtmuU3qYn0Utnj3Xj41j+4vo5msfli8DGLwNwcXixYgdyGOwX7VKDFU/grB7e7JipdeLDZg==" saltValue="+VDhUSyb1C3uKAcNW73ev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f>138544.95592834*(1+'Fane 15. Nøgletal'!C9)</f>
        <v>149739.38836734986</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-2994.7877673469975</v>
      </c>
      <c r="D11" s="14" t="s">
        <v>3</v>
      </c>
      <c r="E11" s="1"/>
    </row>
    <row r="12" spans="1:5" x14ac:dyDescent="0.25">
      <c r="A12" s="1"/>
      <c r="B12" s="78" t="s">
        <v>74</v>
      </c>
      <c r="C12" s="12">
        <f>SUM(C9:C11)*(1+'Fane 15. Nøgletal'!C9)^2</f>
        <v>171416.57072622451</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143477.15635938922</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-2869.5431271877846</v>
      </c>
      <c r="D17" s="14" t="s">
        <v>3</v>
      </c>
      <c r="E17" s="1"/>
    </row>
    <row r="18" spans="1:5" x14ac:dyDescent="0.25">
      <c r="A18" s="1"/>
      <c r="B18" s="78" t="s">
        <v>85</v>
      </c>
      <c r="C18" s="12">
        <f>SUM(C15:C17)*(1+'Fane 15. Nøgletal'!C10)^3</f>
        <v>170469.64781619707</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143477.15635938922</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-2869.5431271877846</v>
      </c>
      <c r="D23" s="14" t="s">
        <v>3</v>
      </c>
      <c r="E23" s="1"/>
    </row>
    <row r="24" spans="1:5" x14ac:dyDescent="0.25">
      <c r="A24" s="1"/>
      <c r="B24" s="78" t="s">
        <v>141</v>
      </c>
      <c r="C24" s="12">
        <f>SUM(C21:C23)*(1+'Fane 15. Nøgletal'!C10)^4</f>
        <v>181771.78546641092</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143477.15635938922</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-2869.5431271877846</v>
      </c>
      <c r="D29" s="14" t="s">
        <v>3</v>
      </c>
      <c r="E29" s="1"/>
    </row>
    <row r="30" spans="1:5" x14ac:dyDescent="0.25">
      <c r="A30" s="1"/>
      <c r="B30" s="78" t="s">
        <v>181</v>
      </c>
      <c r="C30" s="12">
        <f>SUM(C27:C29)*(1+'Fane 15. Nøgletal'!C10)^5</f>
        <v>193823.25484283397</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4bK5ywlE1QEJFqLpmBVBPPhmdi24nO7/AYcjE9J3E11VFwMvpxvJrDJVx2oHdtoViI/ooSLwfdTeGprkGhtH/g==" saltValue="t+VBRND7e22+S1VSyWxkC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iMp6le8OQh+g0FZMTHdBqP9dTLOxjcKcboWeucydI+iafLyEb4swV/Ay1LReVei5Jbw+jEs9b1WOHkKLHCMz6Q==" saltValue="jSum70Q8+mIs2UF0MhBMY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DP9GSDpdg8qcu4QzktxGdFXgCbNuwvuj7/xfsbWnIg/exk4XeuBlsfq2U0aKDazTTdtAzGtyuXMKUlvB2ofvQ==" saltValue="lH0InK2akp24LTkV9GYfW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31875100.934461743</v>
      </c>
      <c r="D9" s="8" t="s">
        <v>3</v>
      </c>
      <c r="E9" s="1"/>
    </row>
    <row r="10" spans="1:5" ht="17.25" customHeight="1" x14ac:dyDescent="0.25">
      <c r="A10" s="1"/>
      <c r="B10" s="64" t="s">
        <v>35</v>
      </c>
      <c r="C10" s="7">
        <f>'Fane 11.1. Varige tillæg'!C20</f>
        <v>729541.13399999996</v>
      </c>
      <c r="D10" s="8" t="s">
        <v>3</v>
      </c>
      <c r="E10" s="1"/>
    </row>
    <row r="11" spans="1:5" ht="17.25" customHeight="1" x14ac:dyDescent="0.25">
      <c r="A11" s="1"/>
      <c r="B11" s="64" t="s">
        <v>36</v>
      </c>
      <c r="C11" s="9">
        <f>'Fane 11.1. Varige tillæg'!E20</f>
        <v>73184.434200000003</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2628728.8606761689</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-194797.60600713498</v>
      </c>
      <c r="D18" s="8" t="s">
        <v>3</v>
      </c>
      <c r="E18" s="1"/>
    </row>
    <row r="19" spans="1:5" ht="17.25" customHeight="1" x14ac:dyDescent="0.25">
      <c r="A19" s="1"/>
      <c r="B19" s="64" t="s">
        <v>23</v>
      </c>
      <c r="C19" s="38">
        <f>-'Fane 4.2. Gen. krav - anlæg'!C17</f>
        <v>0</v>
      </c>
      <c r="D19" s="8" t="s">
        <v>3</v>
      </c>
      <c r="E19" s="43"/>
    </row>
    <row r="20" spans="1:5" ht="17.25" customHeight="1" x14ac:dyDescent="0.25">
      <c r="A20" s="1"/>
      <c r="B20" s="84" t="s">
        <v>21</v>
      </c>
      <c r="C20" s="10">
        <f>SUM(C9:C19)</f>
        <v>35111757.757330775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12471916.06781265</v>
      </c>
      <c r="D22" s="11" t="s">
        <v>3</v>
      </c>
      <c r="E22" s="1"/>
    </row>
    <row r="23" spans="1:5" ht="15" customHeight="1" x14ac:dyDescent="0.25">
      <c r="A23" s="1"/>
      <c r="B23" s="33" t="s">
        <v>42</v>
      </c>
      <c r="C23" s="28"/>
      <c r="D23" s="19"/>
      <c r="E23" s="1"/>
    </row>
    <row r="24" spans="1:5" ht="15" customHeight="1" x14ac:dyDescent="0.25">
      <c r="A24" s="1"/>
      <c r="B24" s="84" t="s">
        <v>42</v>
      </c>
      <c r="C24" s="10">
        <f>'Fane 12. Periodevise driftsomk.'!C12</f>
        <v>171416.57072622451</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6867571.0781560699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-137351.4215631214</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6730219.6565929484</v>
      </c>
      <c r="D30" s="11" t="s">
        <v>3</v>
      </c>
      <c r="E30" s="1"/>
    </row>
    <row r="31" spans="1:5" x14ac:dyDescent="0.25">
      <c r="A31" s="1"/>
      <c r="B31" s="33" t="s">
        <v>69</v>
      </c>
      <c r="C31" s="28"/>
      <c r="D31" s="19"/>
      <c r="E31" s="1"/>
    </row>
    <row r="32" spans="1:5" x14ac:dyDescent="0.25">
      <c r="A32" s="1"/>
      <c r="B32" s="31" t="s">
        <v>79</v>
      </c>
      <c r="C32" s="62">
        <f>'Fane 7. Kontrol af ØR2023'!C27</f>
        <v>194242</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54679552.052462593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o+tIA06j8w4yER5ndnMHVXRl98VipoiWDs7Xd7TZuUBxCFFIpMtcmf1pat26CVHHYYT+r5cx9skuFwpuG4V2w==" saltValue="YaAy+rFvUqatI6aUebzKw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wloIacsT6akiXeT5R4A3ByTunl17qlpzlABf6Kb4IwCDPN/5G2OfgP/N22oggnc9+Lw+rTVg1Tm4iBveS/zb6w==" saltValue="EiKSIHxm5jF6j5YQrVUGf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35111757.757330775</v>
      </c>
      <c r="D9" s="8" t="s">
        <v>3</v>
      </c>
      <c r="E9" s="1"/>
    </row>
    <row r="10" spans="1:5" ht="15" customHeight="1" x14ac:dyDescent="0.25">
      <c r="A10" s="1"/>
      <c r="B10" s="26" t="s">
        <v>19</v>
      </c>
      <c r="C10" s="7">
        <f>C9*'Fane 15. Nøgletal'!C10</f>
        <v>2327909.5393110304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-203558.43353969988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37236108.863102101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13298804.103108628</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driftsomk.'!C18</f>
        <v>170469.64781619707</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50705382.614026926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zf4d+Kfwto7QBle5O/RyokED2BiXIm9JI9JlyauLCFyIcET5LMPsP+Ai0FEElOaeE6XcuqGyzd+B370Ste3VQ==" saltValue="U6ZHrbOfr4ZWiwJ0E6NpO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37236108.863102101</v>
      </c>
      <c r="D9" s="8" t="s">
        <v>3</v>
      </c>
      <c r="E9" s="1"/>
    </row>
    <row r="10" spans="1:5" ht="15" customHeight="1" x14ac:dyDescent="0.25">
      <c r="A10" s="1"/>
      <c r="B10" s="26" t="s">
        <v>19</v>
      </c>
      <c r="C10" s="7">
        <f>SUM(C9:C9)*'Fane 15. Nøgletal'!C10</f>
        <v>2468754.017623669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-212713.27052971435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39492149.610196054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14180514.815144731</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driftsomk.'!C24</f>
        <v>181771.78546641092</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53854436.210807197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f5hbjiycBgNpEX+LfEQrbQTQFmwx8CW5vL4zTsefwmPA8WWbESqZkL+Ilw2Tt6HpjXyUZErKNoIegTdpZ4y+A==" saltValue="53V0rFbxM2wpw18coCCju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39492149.610196054</v>
      </c>
      <c r="D9" s="8" t="s">
        <v>3</v>
      </c>
      <c r="E9" s="1"/>
    </row>
    <row r="10" spans="1:5" ht="15" customHeight="1" x14ac:dyDescent="0.25">
      <c r="A10" s="1"/>
      <c r="B10" s="26" t="s">
        <v>19</v>
      </c>
      <c r="C10" s="7">
        <f>SUM(C9:C9)*'Fane 15. Nøgletal'!C10</f>
        <v>2618329.5191559982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-222279.83715851774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41888199.292193539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15120682.947388828</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driftsomk.'!C30</f>
        <v>193823.25484283397</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57202705.4944252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QnMVRXpg0G67V2PIdEzyCDax8OxEk423x4Q72Mu7EEScLUZ09AO9aV/0CY+X/kJEk8d74CqL4arKXEBhMBGIQ==" saltValue="NH5gj8OrmhG01AykgvLPA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25800247.437537659</v>
      </c>
      <c r="D9" s="8" t="s">
        <v>3</v>
      </c>
      <c r="E9" s="1"/>
    </row>
    <row r="10" spans="1:5" ht="15" customHeight="1" x14ac:dyDescent="0.25">
      <c r="A10" s="1"/>
      <c r="B10" s="64" t="s">
        <v>35</v>
      </c>
      <c r="C10" s="7">
        <v>1074455.7039999999</v>
      </c>
      <c r="D10" s="8" t="s">
        <v>3</v>
      </c>
      <c r="E10" s="1"/>
    </row>
    <row r="11" spans="1:5" ht="15" customHeight="1" x14ac:dyDescent="0.25">
      <c r="A11" s="1"/>
      <c r="B11" s="64" t="s">
        <v>36</v>
      </c>
      <c r="C11" s="9">
        <v>2774006.1384000001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2395615.709818963</v>
      </c>
      <c r="D16" s="8" t="s">
        <v>3</v>
      </c>
      <c r="E16" s="1"/>
    </row>
    <row r="17" spans="1:5" ht="15" customHeight="1" x14ac:dyDescent="0.25">
      <c r="A17" s="1"/>
      <c r="B17" s="64" t="s">
        <v>10</v>
      </c>
      <c r="C17" s="38">
        <v>0</v>
      </c>
      <c r="D17" s="8" t="s">
        <v>3</v>
      </c>
      <c r="E17" s="1"/>
    </row>
    <row r="18" spans="1:5" ht="15" customHeight="1" x14ac:dyDescent="0.25">
      <c r="A18" s="1"/>
      <c r="B18" s="64" t="s">
        <v>22</v>
      </c>
      <c r="C18" s="38">
        <v>-169224.05529487884</v>
      </c>
      <c r="D18" s="8" t="s">
        <v>3</v>
      </c>
      <c r="E18" s="1"/>
    </row>
    <row r="19" spans="1:5" ht="15" customHeight="1" x14ac:dyDescent="0.25">
      <c r="A19" s="1"/>
      <c r="B19" s="64" t="s">
        <v>23</v>
      </c>
      <c r="C19" s="38">
        <v>0</v>
      </c>
      <c r="D19" s="8" t="s">
        <v>3</v>
      </c>
      <c r="E19" s="43"/>
    </row>
    <row r="20" spans="1:5" ht="15" customHeight="1" x14ac:dyDescent="0.25">
      <c r="A20" s="1"/>
      <c r="B20" s="84" t="s">
        <v>21</v>
      </c>
      <c r="C20" s="10">
        <v>31875100.934461743</v>
      </c>
      <c r="D20" s="11" t="s">
        <v>3</v>
      </c>
      <c r="E20" s="1"/>
    </row>
    <row r="21" spans="1:5" ht="15" customHeight="1" x14ac:dyDescent="0.25">
      <c r="A21" s="1"/>
      <c r="B21" s="33" t="s">
        <v>12</v>
      </c>
      <c r="C21" s="28"/>
      <c r="D21" s="19"/>
      <c r="E21" s="1"/>
    </row>
    <row r="22" spans="1:5" ht="15" customHeight="1" x14ac:dyDescent="0.25">
      <c r="A22" s="1"/>
      <c r="B22" s="31" t="s">
        <v>12</v>
      </c>
      <c r="C22" s="10">
        <v>13577404.4897344</v>
      </c>
      <c r="D22" s="11" t="s">
        <v>3</v>
      </c>
      <c r="E22" s="1"/>
    </row>
    <row r="23" spans="1:5" ht="15" customHeight="1" x14ac:dyDescent="0.25">
      <c r="A23" s="1"/>
      <c r="B23" s="33" t="s">
        <v>42</v>
      </c>
      <c r="C23" s="28"/>
      <c r="D23" s="19"/>
      <c r="E23" s="1"/>
    </row>
    <row r="24" spans="1:5" ht="15" customHeight="1" x14ac:dyDescent="0.25">
      <c r="A24" s="1"/>
      <c r="B24" s="84" t="s">
        <v>42</v>
      </c>
      <c r="C24" s="10">
        <v>158601.56432848345</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-194242</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45416864.988524631</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jugR9w+aFvDxo2J27ICZP0KbFSpPRkd+/qs4UjlCvOvqGXf1e8ctQrGm48E79hvuxfcGvuER1Y3ETqWId2FNmw==" saltValue="QhC4EZkN1KRVkdWsKqCaS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123</v>
      </c>
      <c r="C8" s="111"/>
      <c r="D8" s="112"/>
      <c r="E8" s="1"/>
    </row>
    <row r="9" spans="1:5" x14ac:dyDescent="0.25">
      <c r="A9" s="1"/>
      <c r="B9" s="65" t="s">
        <v>88</v>
      </c>
      <c r="C9" s="23">
        <v>7299931.039860744</v>
      </c>
      <c r="D9" s="14" t="s">
        <v>3</v>
      </c>
      <c r="E9" s="1"/>
    </row>
    <row r="10" spans="1:5" x14ac:dyDescent="0.25">
      <c r="A10" s="1"/>
      <c r="B10" s="65" t="s">
        <v>125</v>
      </c>
      <c r="C10" s="23">
        <f>('Fane 3. Omkostninger i ØR2024'!C10+'Fane 3. Omkostninger i ØR2024'!C12+'Fane 3. Omkostninger i ØR2024'!C14)*(1+'Fane 15. Nøgletal'!C9)</f>
        <v>1161271.7248831999</v>
      </c>
      <c r="D10" s="14" t="s">
        <v>3</v>
      </c>
      <c r="E10" s="1"/>
    </row>
    <row r="11" spans="1:5" x14ac:dyDescent="0.25">
      <c r="A11" s="1"/>
      <c r="B11" s="65" t="s">
        <v>131</v>
      </c>
      <c r="C11" s="23">
        <f>C9*'Fane 15. Nøgletal'!C21+C10*'Fane 15. Nøgletal'!C21</f>
        <v>169224.0552948789</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8961970.5891725495</v>
      </c>
      <c r="D15" s="14" t="s">
        <v>3</v>
      </c>
      <c r="E15" s="1"/>
    </row>
    <row r="16" spans="1:5" x14ac:dyDescent="0.25">
      <c r="A16" s="1"/>
      <c r="B16" s="65" t="s">
        <v>184</v>
      </c>
      <c r="C16" s="23">
        <f>('Fane 2.1. Økonomisk ramme 2025'!C10+'Fane 2.1. Økonomisk ramme 2025'!C12+'Fane 2.1. Økonomisk ramme 2025'!C14)*(1+'Fane 15. Nøgletal'!C10)</f>
        <v>777909.71118420002</v>
      </c>
      <c r="D16" s="14" t="s">
        <v>3</v>
      </c>
      <c r="E16" s="1"/>
    </row>
    <row r="17" spans="1:5" x14ac:dyDescent="0.25">
      <c r="A17" s="1"/>
      <c r="B17" s="65" t="s">
        <v>132</v>
      </c>
      <c r="C17" s="23">
        <f>C15*'Fane 15. Nøgletal'!C21+C16*'Fane 15. Nøgletal'!C21</f>
        <v>194797.60600713498</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10177921.676984994</v>
      </c>
      <c r="D21" s="14" t="s">
        <v>3</v>
      </c>
      <c r="E21" s="1"/>
    </row>
    <row r="22" spans="1:5" x14ac:dyDescent="0.25">
      <c r="A22" s="1"/>
      <c r="B22" s="65" t="s">
        <v>196</v>
      </c>
      <c r="C22" s="23">
        <f>C21*'Fane 15. Nøgletal'!C21</f>
        <v>203558.43353969988</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10635663.526485717</v>
      </c>
      <c r="D26" s="14" t="s">
        <v>3</v>
      </c>
      <c r="E26" s="1"/>
    </row>
    <row r="27" spans="1:5" x14ac:dyDescent="0.25">
      <c r="A27" s="1"/>
      <c r="B27" s="65" t="s">
        <v>194</v>
      </c>
      <c r="C27" s="23">
        <f>C26*'Fane 15. Nøgletal'!C21</f>
        <v>212713.27052971435</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11113991.857925886</v>
      </c>
      <c r="D31" s="14" t="s">
        <v>3</v>
      </c>
      <c r="E31" s="1"/>
    </row>
    <row r="32" spans="1:5" x14ac:dyDescent="0.25">
      <c r="A32" s="1"/>
      <c r="B32" s="65" t="s">
        <v>195</v>
      </c>
      <c r="C32" s="23">
        <f>C31*'Fane 15. Nøgletal'!C21</f>
        <v>222279.83715851774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Y1sZKSrotuKrCR7d/TgjPH5CzWHvEJ4GVsHDrKtd5DvyVmP3QmVB+jve9VZTsYMoNMGZ34DwT593Rd0St050A==" saltValue="ewgbsbucUt3pm5RdP/tBP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22709271.896298498</v>
      </c>
      <c r="D9" s="14" t="s">
        <v>3</v>
      </c>
      <c r="E9" s="1"/>
    </row>
    <row r="10" spans="1:5" x14ac:dyDescent="0.25">
      <c r="A10" s="1"/>
      <c r="B10" s="65" t="s">
        <v>126</v>
      </c>
      <c r="C10" s="23">
        <f>('Fane 3. Omkostninger i ØR2024'!C11+'Fane 3. Omkostninger i ØR2024'!C13+'Fane 3. Omkostninger i ØR2024'!C15)*(1+'Fane 15. Nøgletal'!C9)</f>
        <v>2998145.8343827198</v>
      </c>
      <c r="D10" s="14" t="s">
        <v>3</v>
      </c>
      <c r="E10" s="1"/>
    </row>
    <row r="11" spans="1:5" x14ac:dyDescent="0.25">
      <c r="A11" s="1"/>
      <c r="B11" s="65" t="s">
        <v>135</v>
      </c>
      <c r="C11" s="75">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27784577.08332026</v>
      </c>
      <c r="D15" s="14" t="s">
        <v>3</v>
      </c>
      <c r="E15" s="1"/>
    </row>
    <row r="16" spans="1:5" x14ac:dyDescent="0.25">
      <c r="A16" s="1"/>
      <c r="B16" s="65" t="s">
        <v>185</v>
      </c>
      <c r="C16" s="23">
        <f>('Fane 2.1. Økonomisk ramme 2025'!C11+'Fane 2.1. Økonomisk ramme 2025'!C13+'Fane 2.1. Økonomisk ramme 2025'!C15)*(1+'Fane 15. Nøgletal'!C10)</f>
        <v>78036.562187460004</v>
      </c>
      <c r="D16" s="14" t="s">
        <v>3</v>
      </c>
      <c r="E16" s="1"/>
    </row>
    <row r="17" spans="1:5" x14ac:dyDescent="0.25">
      <c r="A17" s="1"/>
      <c r="B17" s="65" t="s">
        <v>137</v>
      </c>
      <c r="C17" s="75">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29709904.930204883</v>
      </c>
      <c r="D21" s="14" t="s">
        <v>3</v>
      </c>
      <c r="E21" s="1"/>
    </row>
    <row r="22" spans="1:5" x14ac:dyDescent="0.25">
      <c r="A22" s="1"/>
      <c r="B22" s="65" t="s">
        <v>197</v>
      </c>
      <c r="C22" s="75">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31679671.627077468</v>
      </c>
      <c r="D26" s="14" t="s">
        <v>3</v>
      </c>
      <c r="E26" s="1"/>
    </row>
    <row r="27" spans="1:5" x14ac:dyDescent="0.25">
      <c r="A27" s="1"/>
      <c r="B27" s="65" t="s">
        <v>198</v>
      </c>
      <c r="C27" s="75">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33780033.855952702</v>
      </c>
      <c r="D31" s="14" t="s">
        <v>3</v>
      </c>
      <c r="E31" s="1"/>
    </row>
    <row r="32" spans="1:5" x14ac:dyDescent="0.25">
      <c r="A32" s="1"/>
      <c r="B32" s="65" t="s">
        <v>199</v>
      </c>
      <c r="C32" s="75">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MUfN7HMMG7OT4VsVC4DIVICXHZHoEUC7Wsct4LFg+Ighr3y2fJ3bFjqJzJPjFD6lJx50IUC0xDt2nSJ/6cn9Q==" saltValue="eXJtxD92ekWRThgbruIpU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0</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pExTVW6fL8MZd2XrkAasv4phhelhUyHFz0UotokEW17CeTO7FB5SWHIvu3s5ZjrNPFg9z44VSsYaQeVTbHctew==" saltValue="CMYTgo3tLekQGrwEm6TCD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2024-09-26T07:52:12Z</dcterms:modified>
</cp:coreProperties>
</file>