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Frederiksberg Spildevand AS (S024)\ØR2024\"/>
    </mc:Choice>
  </mc:AlternateContent>
  <xr:revisionPtr revIDLastSave="0" documentId="13_ncr:1_{007376A3-678A-4100-B0E1-E8EF5D066614}"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25" i="44" l="1"/>
  <c r="E16" i="44" l="1"/>
  <c r="E17" i="44"/>
  <c r="E18" i="44" l="1"/>
  <c r="C9" i="2"/>
  <c r="E29" i="44" l="1"/>
  <c r="E31" i="44" s="1"/>
  <c r="E30" i="20"/>
  <c r="E29" i="20"/>
  <c r="E31" i="20" s="1"/>
  <c r="E24" i="20"/>
  <c r="E23" i="20"/>
  <c r="E25" i="20" s="1"/>
  <c r="C20" i="15" l="1"/>
  <c r="C32" i="2"/>
  <c r="G18" i="41"/>
  <c r="E17" i="20" l="1"/>
  <c r="E11" i="20"/>
  <c r="C22" i="23" l="1"/>
  <c r="C22" i="22"/>
  <c r="C22" i="15"/>
  <c r="C36" i="2"/>
  <c r="C13" i="29" l="1"/>
  <c r="C14" i="29" s="1"/>
  <c r="E13" i="29"/>
  <c r="E14" i="29" s="1"/>
  <c r="E11" i="39"/>
  <c r="E12" i="39" s="1"/>
  <c r="C11" i="39"/>
  <c r="C12"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G55" i="36" s="1"/>
  <c r="C19" i="2" s="1"/>
  <c r="G52" i="30" l="1"/>
  <c r="G54" i="30" s="1"/>
  <c r="G58" i="30" s="1"/>
  <c r="G59" i="36"/>
  <c r="G60" i="36" s="1"/>
  <c r="C13" i="15" s="1"/>
  <c r="C16" i="2"/>
  <c r="C17" i="2" s="1"/>
  <c r="C18" i="2" l="1"/>
  <c r="C20" i="2" s="1"/>
  <c r="G64" i="36"/>
  <c r="G65" i="36" s="1"/>
  <c r="C13" i="22" s="1"/>
  <c r="G69" i="36" l="1"/>
  <c r="G70" i="36" s="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<sst xmlns="http://schemas.openxmlformats.org/spreadsheetml/2006/main" count="654" uniqueCount="294">
  <si>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</si>
  <si>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</si>
  <si>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</si>
  <si>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</si>
  <si>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</si>
  <si>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</si>
  <si>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</si>
  <si>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</si>
  <si>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</si>
  <si>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</si>
  <si>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</si>
  <si>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</si>
  <si>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</si>
  <si>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</si>
  <si>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</si>
  <si>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</si>
  <si>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</si>
  <si>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</si>
  <si>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</si>
  <si>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</si>
  <si>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</si>
  <si>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</si>
  <si>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</si>
  <si>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</si>
  <si>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</si>
  <si>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</si>
  <si>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</si>
  <si>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</si>
  <si>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</si>
  <si>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</si>
  <si>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</si>
  <si>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</si>
  <si>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</si>
  <si>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</si>
  <si>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</si>
  <si>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</si>
  <si>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</si>
  <si>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</si>
  <si>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</si>
  <si>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</si>
  <si>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</si>
  <si>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</si>
  <si>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</si>
  <si>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</si>
  <si>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</si>
  <si>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</si>
  <si>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</si>
  <si>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</si>
  <si>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</si>
  <si>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</si>
  <si>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</si>
  <si>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</si>
  <si>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</si>
  <si>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</si>
  <si>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</si>
  <si>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</si>
  <si>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</si>
  <si>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</si>
  <si>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</si>
  <si>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</si>
  <si>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</si>
  <si>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</si>
  <si>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</si>
  <si>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</si>
  <si>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</si>
  <si>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</si>
  <si>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</si>
  <si>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</si>
  <si>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</si>
  <si>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</si>
  <si>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</si>
  <si>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</si>
  <si>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</si>
  <si>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</si>
  <si>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</si>
  <si>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</si>
  <si>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</si>
  <si>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</si>
  <si>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</si>
  <si>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</si>
  <si>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</si>
  <si>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</si>
  <si>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</si>
  <si>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</si>
  <si>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</si>
  <si>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</si>
  <si>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</si>
  <si>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</si>
  <si>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</si>
  <si>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</si>
  <si>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</si>
  <si>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</si>
  <si>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</si>
  <si>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</si>
  <si>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</si>
  <si>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</si>
  <si>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</si>
  <si>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</si>
  <si>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</si>
  <si>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</si>
  <si>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</si>
  <si>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</si>
  <si>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</si>
  <si>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</si>
  <si>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</si>
  <si>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</si>
  <si>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</si>
  <si>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</si>
  <si>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</si>
  <si>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</si>
  <si>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</si>
  <si>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</si>
  <si>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</si>
  <si>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</si>
  <si>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</si>
  <si>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</si>
  <si>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</si>
  <si>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</si>
  <si>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</si>
  <si>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</si>
  <si>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</si>
  <si>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</si>
  <si>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</si>
  <si>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</si>
  <si>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</si>
  <si>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</si>
  <si>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</si>
  <si>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</si>
  <si>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</si>
  <si>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</si>
  <si>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</si>
  <si>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</si>
  <si>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</si>
  <si>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</si>
  <si>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</si>
  <si>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</si>
  <si>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</si>
  <si>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</si>
  <si>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</si>
  <si>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</si>
  <si>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</si>
  <si>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</si>
  <si>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</si>
  <si>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</si>
  <si>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</si>
  <si>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</si>
  <si>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</si>
  <si>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</si>
  <si>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</si>
  <si>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</si>
  <si>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</si>
  <si>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</si>
  <si>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</si>
  <si>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</si>
  <si>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</si>
  <si>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</si>
  <si>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</si>
  <si>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</si>
  <si>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</si>
  <si>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</si>
  <si>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</si>
  <si>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</si>
  <si>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</si>
  <si>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</si>
  <si>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</si>
  <si>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</si>
  <si>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</si>
  <si>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</si>
  <si>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</si>
  <si>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</si>
  <si>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</si>
  <si>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</si>
  <si>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</si>
  <si>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</si>
  <si>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</si>
  <si>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</si>
  <si>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</si>
  <si>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</si>
  <si>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</si>
  <si>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</si>
  <si>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</si>
  <si>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</si>
  <si>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</si>
  <si>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</si>
  <si>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</si>
  <si>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</si>
  <si>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</si>
  <si>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</si>
  <si>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</si>
  <si>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</si>
  <si>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</si>
  <si>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</si>
  <si>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</si>
  <si>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</si>
  <si>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</si>
  <si>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</si>
  <si>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</si>
  <si>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</si>
  <si>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</si>
  <si>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</si>
  <si>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</si>
  <si>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</si>
  <si>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</si>
  <si>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</si>
  <si>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</si>
  <si>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</si>
  <si>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</si>
  <si>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</si>
  <si>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</si>
  <si>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</si>
  <si>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</si>
  <si>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</si>
  <si>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</si>
  <si>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</si>
  <si>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</si>
  <si>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</si>
  <si>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</si>
  <si>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</si>
  <si>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</si>
  <si>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</si>
  <si>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</si>
  <si>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</si>
  <si>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</si>
  <si>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</si>
  <si>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</si>
  <si>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</si>
  <si>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</si>
  <si>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</si>
  <si>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</si>
  <si>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</si>
  <si>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</si>
  <si>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</si>
  <si>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</si>
  <si>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</si>
  <si>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</si>
  <si>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</si>
  <si>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</si>
  <si>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</si>
  <si>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</si>
  <si>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</si>
  <si>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</si>
  <si>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</si>
  <si>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</si>
  <si>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</si>
  <si>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</si>
  <si>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</si>
  <si>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</si>
  <si>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</si>
  <si>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</si>
  <si>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</si>
  <si>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</si>
  <si>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</si>
  <si>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</si>
  <si>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</si>
  <si>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</si>
  <si>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</si>
  <si>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</si>
  <si>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</si>
  <si>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</si>
  <si>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</si>
  <si>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</si>
  <si>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</si>
  <si>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</si>
  <si>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</si>
  <si>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</si>
  <si>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</si>
  <si>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</si>
  <si>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</si>
  <si>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</si>
  <si>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</si>
  <si>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</si>
  <si>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</si>
  <si>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</si>
  <si>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</si>
  <si>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</si>
  <si>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</si>
  <si>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</si>
  <si>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</si>
  <si>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</si>
  <si>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</si>
  <si>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</si>
  <si>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</si>
  <si>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</si>
  <si>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</si>
  <si>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Afgift til Forsyningssekretariatet</t>
  </si>
  <si>
    <t>Køb af ydelser og produkter fra andre vandselskaber</t>
  </si>
  <si>
    <t>Ejendomsskat</t>
  </si>
  <si>
    <t>Tjenestemandspensioner</t>
  </si>
  <si>
    <t>Regnvandsplan</t>
  </si>
  <si>
    <t>Omlægning Bycampus</t>
  </si>
  <si>
    <t>Omlægning Grønttorvet</t>
  </si>
  <si>
    <t>Harrestrup Å</t>
  </si>
  <si>
    <t>Medfinansiering Projektpakke 1</t>
  </si>
  <si>
    <t>Medfinansiering Projektpakke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</si>
</sst>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6" fontId="8" fillId="8" borderId="2" xfId="1" quotePrefix="1" applyNumberFormat="1" applyFont="1" applyFill="1" applyBorder="1" applyAlignment="1" applyProtection="1">
      <alignment horizontal="right" wrapText="1"/>
    </xf>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67" fontId="8" fillId="0" borderId="1" xfId="1" applyNumberFormat="1" applyFont="1" applyFill="1" applyBorder="1" applyProtection="1"/>
    <xf numFmtId="1" fontId="8" fillId="8" borderId="2" xfId="1" quotePrefix="1" applyNumberFormat="1" applyFont="1" applyFill="1" applyBorder="1" applyAlignment="1" applyProtection="1">
      <alignment horizontal="righ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8" width="9.1796875" style="2"/>
    <col min="9" max="9" width="9.81640625" style="2" customWidth="1"/>
    <col min="10" max="16384" width="9.1796875" style="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
      <c r="C3" s="1"/>
      <c r="D3" s="1"/>
      <c r="E3" s="1"/>
      <c r="F3" s="1"/>
      <c r="G3" s="1"/>
      <c r="H3" s="1"/>
      <c r="I3" s="1"/>
    </row>
    <row r="4" spans="1:9" ht="15" customHeight="1" x14ac:dyDescent="0.35">
      <c r="A4" s="1"/>
      <c r="B4" s="1"/>
      <c r="C4" s="1"/>
      <c r="D4" s="1"/>
      <c r="E4" s="1"/>
      <c r="F4" s="1"/>
      <c r="G4" s="1"/>
      <c r="H4" s="1"/>
      <c r="I4" s="1"/>
    </row>
    <row r="5" spans="1:9" x14ac:dyDescent="0.35">
      <c r="A5" s="1"/>
      <c r="B5" s="1"/>
      <c r="C5" s="1"/>
      <c r="D5" s="1"/>
      <c r="E5" s="1"/>
      <c r="F5" s="1"/>
      <c r="G5" s="1"/>
      <c r="H5" s="1"/>
      <c r="I5" s="1"/>
    </row>
    <row r="6" spans="1:9" ht="15" customHeight="1" x14ac:dyDescent="0.35">
      <c r="A6" s="1"/>
      <c r="B6" s="1"/>
      <c r="C6" s="3"/>
      <c r="D6" s="102" t="s">
        <v>4</v>
      </c>
      <c r="E6" s="102"/>
      <c r="F6" s="102"/>
      <c r="G6" s="102"/>
      <c r="H6" s="3"/>
      <c r="I6" s="1"/>
    </row>
    <row r="7" spans="1:9" ht="15" customHeight="1" x14ac:dyDescent="0.35">
      <c r="A7" s="1"/>
      <c r="B7" s="1"/>
      <c r="C7" s="3"/>
      <c r="D7" s="102"/>
      <c r="E7" s="102"/>
      <c r="F7" s="102"/>
      <c r="G7" s="102"/>
      <c r="H7" s="3"/>
      <c r="I7" s="1"/>
    </row>
    <row r="8" spans="1:9" ht="15.5" x14ac:dyDescent="0.35">
      <c r="A8" s="1"/>
      <c r="B8" s="1"/>
      <c r="C8" s="4"/>
      <c r="D8" s="107" t="s">
        <v>252</v>
      </c>
      <c r="E8" s="107"/>
      <c r="F8" s="107"/>
      <c r="G8" s="107"/>
      <c r="H8" s="4"/>
      <c r="I8" s="5"/>
    </row>
    <row r="9" spans="1:9" x14ac:dyDescent="0.35">
      <c r="A9" s="1"/>
      <c r="B9" s="1"/>
      <c r="C9" s="5"/>
      <c r="D9" s="5"/>
      <c r="E9" s="5"/>
      <c r="F9" s="5"/>
      <c r="G9" s="5"/>
      <c r="H9" s="5"/>
      <c r="I9" s="1"/>
    </row>
    <row r="10" spans="1:9" x14ac:dyDescent="0.35">
      <c r="A10" s="1"/>
      <c r="B10" s="5"/>
      <c r="C10" s="5"/>
      <c r="D10" s="5"/>
      <c r="E10" s="5"/>
      <c r="F10" s="5"/>
      <c r="G10" s="5"/>
      <c r="H10" s="5"/>
      <c r="I10" s="1"/>
    </row>
    <row r="11" spans="1:9" x14ac:dyDescent="0.35">
      <c r="A11" s="1"/>
      <c r="B11" s="5"/>
      <c r="C11" s="5"/>
      <c r="D11" s="106" t="s">
        <v>5</v>
      </c>
      <c r="E11" s="106"/>
      <c r="F11" s="106"/>
      <c r="G11" s="106"/>
      <c r="H11" s="5"/>
      <c r="I11" s="1"/>
    </row>
    <row r="12" spans="1:9" x14ac:dyDescent="0.35">
      <c r="A12" s="1"/>
      <c r="B12" s="1"/>
      <c r="C12" s="1"/>
      <c r="D12" s="1"/>
      <c r="E12" s="1"/>
      <c r="F12" s="1"/>
      <c r="G12" s="1"/>
      <c r="H12" s="5"/>
      <c r="I12" s="1"/>
    </row>
    <row r="13" spans="1:9" x14ac:dyDescent="0.35">
      <c r="A13" s="1"/>
      <c r="B13" s="1"/>
      <c r="C13" s="6" t="s">
        <v>6</v>
      </c>
      <c r="D13" s="108" t="s">
        <v>196</v>
      </c>
      <c r="E13" s="109"/>
      <c r="F13" s="109"/>
      <c r="G13" s="110"/>
      <c r="H13" s="5"/>
      <c r="I13" s="1"/>
    </row>
    <row r="14" spans="1:9" x14ac:dyDescent="0.35">
      <c r="A14" s="1"/>
      <c r="B14" s="1"/>
      <c r="C14" s="6" t="s">
        <v>16</v>
      </c>
      <c r="D14" s="99" t="s">
        <v>197</v>
      </c>
      <c r="E14" s="100"/>
      <c r="F14" s="100"/>
      <c r="G14" s="101"/>
      <c r="H14" s="5"/>
      <c r="I14" s="1"/>
    </row>
    <row r="15" spans="1:9" x14ac:dyDescent="0.35">
      <c r="A15" s="1"/>
      <c r="B15" s="1"/>
      <c r="C15" s="6" t="s">
        <v>31</v>
      </c>
      <c r="D15" s="99" t="s">
        <v>262</v>
      </c>
      <c r="E15" s="100"/>
      <c r="F15" s="100"/>
      <c r="G15" s="101"/>
      <c r="H15" s="5"/>
      <c r="I15" s="1"/>
    </row>
    <row r="16" spans="1:9" x14ac:dyDescent="0.35">
      <c r="A16" s="1"/>
      <c r="B16" s="1"/>
      <c r="C16" s="6" t="s">
        <v>32</v>
      </c>
      <c r="D16" s="99" t="s">
        <v>263</v>
      </c>
      <c r="E16" s="100"/>
      <c r="F16" s="100"/>
      <c r="G16" s="101"/>
      <c r="H16" s="5"/>
      <c r="I16" s="1"/>
    </row>
    <row r="17" spans="1:9" x14ac:dyDescent="0.35">
      <c r="A17" s="1"/>
      <c r="B17" s="1"/>
      <c r="C17" s="6" t="s">
        <v>101</v>
      </c>
      <c r="D17" s="99" t="s">
        <v>198</v>
      </c>
      <c r="E17" s="100"/>
      <c r="F17" s="100"/>
      <c r="G17" s="101"/>
      <c r="H17" s="5"/>
      <c r="I17" s="1"/>
    </row>
    <row r="18" spans="1:9" x14ac:dyDescent="0.35">
      <c r="A18" s="1"/>
      <c r="B18" s="1"/>
      <c r="C18" s="6" t="s">
        <v>88</v>
      </c>
      <c r="D18" s="96" t="s">
        <v>79</v>
      </c>
      <c r="E18" s="97"/>
      <c r="F18" s="97"/>
      <c r="G18" s="98"/>
      <c r="H18" s="5"/>
      <c r="I18" s="1"/>
    </row>
    <row r="19" spans="1:9" x14ac:dyDescent="0.35">
      <c r="A19" s="1"/>
      <c r="B19" s="1"/>
      <c r="C19" s="6" t="s">
        <v>89</v>
      </c>
      <c r="D19" s="96" t="s">
        <v>80</v>
      </c>
      <c r="E19" s="97"/>
      <c r="F19" s="97"/>
      <c r="G19" s="98"/>
      <c r="H19" s="5"/>
      <c r="I19" s="1"/>
    </row>
    <row r="20" spans="1:9" x14ac:dyDescent="0.35">
      <c r="A20" s="1"/>
      <c r="B20" s="1"/>
      <c r="C20" s="6" t="s">
        <v>7</v>
      </c>
      <c r="D20" s="96" t="s">
        <v>10</v>
      </c>
      <c r="E20" s="97"/>
      <c r="F20" s="97"/>
      <c r="G20" s="98"/>
      <c r="H20" s="5"/>
      <c r="I20" s="1"/>
    </row>
    <row r="21" spans="1:9" x14ac:dyDescent="0.35">
      <c r="A21" s="1"/>
      <c r="B21" s="1"/>
      <c r="C21" s="6" t="s">
        <v>90</v>
      </c>
      <c r="D21" s="103" t="s">
        <v>12</v>
      </c>
      <c r="E21" s="104"/>
      <c r="F21" s="104"/>
      <c r="G21" s="105"/>
      <c r="H21" s="5"/>
      <c r="I21" s="1"/>
    </row>
    <row r="22" spans="1:9" x14ac:dyDescent="0.35">
      <c r="A22" s="1"/>
      <c r="B22" s="1"/>
      <c r="C22" s="6" t="s">
        <v>71</v>
      </c>
      <c r="D22" s="90" t="s">
        <v>199</v>
      </c>
      <c r="E22" s="91"/>
      <c r="F22" s="91"/>
      <c r="G22" s="92"/>
      <c r="H22" s="5"/>
      <c r="I22" s="1"/>
    </row>
    <row r="23" spans="1:9" x14ac:dyDescent="0.35">
      <c r="A23" s="1"/>
      <c r="B23" s="1"/>
      <c r="C23" s="6" t="s">
        <v>8</v>
      </c>
      <c r="D23" s="90" t="s">
        <v>181</v>
      </c>
      <c r="E23" s="91"/>
      <c r="F23" s="91"/>
      <c r="G23" s="92"/>
      <c r="H23" s="5"/>
      <c r="I23" s="1"/>
    </row>
    <row r="24" spans="1:9" x14ac:dyDescent="0.35">
      <c r="A24" s="1"/>
      <c r="B24" s="1"/>
      <c r="C24" s="6" t="s">
        <v>9</v>
      </c>
      <c r="D24" s="90" t="s">
        <v>200</v>
      </c>
      <c r="E24" s="91"/>
      <c r="F24" s="91"/>
      <c r="G24" s="92"/>
      <c r="H24" s="5"/>
      <c r="I24" s="1"/>
    </row>
    <row r="25" spans="1:9" x14ac:dyDescent="0.35">
      <c r="A25" s="1"/>
      <c r="B25" s="1"/>
      <c r="C25" s="6" t="s">
        <v>166</v>
      </c>
      <c r="D25" s="90" t="s">
        <v>160</v>
      </c>
      <c r="E25" s="91"/>
      <c r="F25" s="91"/>
      <c r="G25" s="92"/>
      <c r="H25" s="1"/>
      <c r="I25" s="1"/>
    </row>
    <row r="26" spans="1:9" x14ac:dyDescent="0.35">
      <c r="A26" s="1"/>
      <c r="B26" s="1"/>
      <c r="C26" s="6" t="s">
        <v>167</v>
      </c>
      <c r="D26" s="90" t="s">
        <v>72</v>
      </c>
      <c r="E26" s="91"/>
      <c r="F26" s="91"/>
      <c r="G26" s="92"/>
      <c r="H26" s="1"/>
      <c r="I26" s="1"/>
    </row>
    <row r="27" spans="1:9" x14ac:dyDescent="0.35">
      <c r="A27" s="1"/>
      <c r="B27" s="1"/>
      <c r="C27" s="6" t="s">
        <v>168</v>
      </c>
      <c r="D27" s="90" t="s">
        <v>73</v>
      </c>
      <c r="E27" s="91"/>
      <c r="F27" s="91"/>
      <c r="G27" s="92"/>
      <c r="H27" s="1"/>
      <c r="I27" s="1"/>
    </row>
    <row r="28" spans="1:9" x14ac:dyDescent="0.35">
      <c r="A28" s="1"/>
      <c r="B28" s="1"/>
      <c r="C28" s="6" t="s">
        <v>15</v>
      </c>
      <c r="D28" s="90" t="s">
        <v>74</v>
      </c>
      <c r="E28" s="91"/>
      <c r="F28" s="91"/>
      <c r="G28" s="92"/>
      <c r="H28" s="1"/>
      <c r="I28" s="1"/>
    </row>
    <row r="29" spans="1:9" x14ac:dyDescent="0.35">
      <c r="A29" s="1"/>
      <c r="B29" s="1"/>
      <c r="C29" s="6" t="s">
        <v>34</v>
      </c>
      <c r="D29" s="90" t="s">
        <v>114</v>
      </c>
      <c r="E29" s="91"/>
      <c r="F29" s="91"/>
      <c r="G29" s="92"/>
      <c r="H29" s="1"/>
      <c r="I29" s="1"/>
    </row>
    <row r="30" spans="1:9" x14ac:dyDescent="0.35">
      <c r="A30" s="1"/>
      <c r="B30" s="1"/>
      <c r="C30" s="6" t="s">
        <v>35</v>
      </c>
      <c r="D30" s="90" t="s">
        <v>33</v>
      </c>
      <c r="E30" s="91"/>
      <c r="F30" s="91"/>
      <c r="G30" s="92"/>
      <c r="H30" s="1"/>
      <c r="I30" s="1"/>
    </row>
    <row r="31" spans="1:9" x14ac:dyDescent="0.35">
      <c r="A31" s="1"/>
      <c r="B31" s="1"/>
      <c r="C31" s="6" t="s">
        <v>169</v>
      </c>
      <c r="D31" s="93" t="s">
        <v>87</v>
      </c>
      <c r="E31" s="94"/>
      <c r="F31" s="94"/>
      <c r="G31" s="95"/>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row r="51" spans="1:9" x14ac:dyDescent="0.35">
      <c r="A51" s="47"/>
      <c r="B51" s="47"/>
      <c r="C51" s="47"/>
      <c r="D51" s="47"/>
      <c r="E51" s="47"/>
      <c r="F51" s="47"/>
      <c r="G51" s="47"/>
      <c r="H51" s="47"/>
      <c r="I51" s="47"/>
    </row>
  </sheetData>
  <sheetProtection algorithmName="SHA-512" hashValue="Y+lyEYNdAQT2iVBLabI3lCMfU1ueVBlpeVJ78DNKa8aWXBxUhygqeUAFFtOKcXM+o+3SeY52pNVL4k0HjdvA1A==" saltValue="wWm2tHYLXszrNN+tuV3qow=="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7"/>
  <sheetViews>
    <sheetView showGridLines="0" view="pageLayout" zoomScaleNormal="100" workbookViewId="0"/>
  </sheetViews>
  <sheetFormatPr defaultColWidth="9.1796875" defaultRowHeight="14.5" x14ac:dyDescent="0.35"/>
  <cols>
    <col min="1" max="1" width="8.1796875" style="2" customWidth="1"/>
    <col min="2" max="2" width="38" style="2" customWidth="1"/>
    <col min="3" max="3" width="25.1796875" style="2" customWidth="1"/>
    <col min="4" max="4" width="3.26953125" style="2" customWidth="1"/>
    <col min="5" max="5" width="7.81640625" style="2" customWidth="1"/>
    <col min="6" max="6" width="4" style="2" customWidth="1"/>
    <col min="7" max="16384" width="9.1796875" style="2"/>
  </cols>
  <sheetData>
    <row r="1" spans="1:6" x14ac:dyDescent="0.35">
      <c r="A1" s="1"/>
      <c r="B1" s="1"/>
      <c r="C1" s="1"/>
      <c r="D1" s="1"/>
      <c r="E1" s="1"/>
      <c r="F1" s="1"/>
    </row>
    <row r="2" spans="1:6" x14ac:dyDescent="0.35">
      <c r="A2" s="1"/>
      <c r="B2" s="1"/>
      <c r="C2" s="1"/>
      <c r="D2" s="1"/>
      <c r="E2" s="1"/>
      <c r="F2" s="1"/>
    </row>
    <row r="3" spans="1:6" ht="15" customHeight="1" x14ac:dyDescent="0.35">
      <c r="A3" s="1"/>
      <c r="B3" s="111" t="s">
        <v>93</v>
      </c>
      <c r="C3" s="111"/>
      <c r="D3" s="111"/>
      <c r="E3" s="1"/>
      <c r="F3" s="1"/>
    </row>
    <row r="4" spans="1:6" ht="15" customHeight="1" x14ac:dyDescent="0.35">
      <c r="A4" s="1"/>
      <c r="B4" s="111"/>
      <c r="C4" s="111"/>
      <c r="D4" s="111"/>
      <c r="E4" s="1"/>
      <c r="F4" s="1"/>
    </row>
    <row r="5" spans="1:6" x14ac:dyDescent="0.35">
      <c r="A5" s="1"/>
      <c r="B5" s="1"/>
      <c r="C5" s="1"/>
      <c r="D5" s="1"/>
      <c r="E5" s="1"/>
      <c r="F5" s="1"/>
    </row>
    <row r="6" spans="1:6" x14ac:dyDescent="0.35">
      <c r="A6" s="1"/>
      <c r="B6" s="1"/>
      <c r="C6" s="1"/>
      <c r="D6" s="1"/>
      <c r="E6" s="1"/>
      <c r="F6" s="1"/>
    </row>
    <row r="7" spans="1:6" x14ac:dyDescent="0.35">
      <c r="A7" s="1"/>
      <c r="B7" s="1"/>
      <c r="C7" s="1"/>
      <c r="D7" s="1"/>
      <c r="E7" s="1"/>
      <c r="F7" s="1"/>
    </row>
    <row r="8" spans="1:6" x14ac:dyDescent="0.35">
      <c r="A8" s="1"/>
      <c r="B8" s="115" t="s">
        <v>224</v>
      </c>
      <c r="C8" s="116"/>
      <c r="D8" s="117"/>
      <c r="E8" s="1"/>
      <c r="F8" s="1"/>
    </row>
    <row r="9" spans="1:6" ht="15" customHeight="1" x14ac:dyDescent="0.35">
      <c r="A9" s="1"/>
      <c r="B9" s="27" t="s">
        <v>29</v>
      </c>
      <c r="C9" s="49" t="s">
        <v>225</v>
      </c>
      <c r="D9" s="11"/>
      <c r="E9" s="1"/>
      <c r="F9" s="1"/>
    </row>
    <row r="10" spans="1:6" ht="15" customHeight="1" x14ac:dyDescent="0.35">
      <c r="A10" s="1"/>
      <c r="B10" s="82" t="s">
        <v>284</v>
      </c>
      <c r="C10" s="9">
        <v>175942</v>
      </c>
      <c r="D10" s="14" t="s">
        <v>3</v>
      </c>
      <c r="E10" s="1"/>
      <c r="F10" s="1"/>
    </row>
    <row r="11" spans="1:6" ht="15" customHeight="1" x14ac:dyDescent="0.35">
      <c r="A11" s="1"/>
      <c r="B11" s="82" t="s">
        <v>285</v>
      </c>
      <c r="C11" s="9">
        <v>35682291</v>
      </c>
      <c r="D11" s="14" t="s">
        <v>3</v>
      </c>
      <c r="E11" s="1"/>
      <c r="F11" s="1"/>
    </row>
    <row r="12" spans="1:6" x14ac:dyDescent="0.35">
      <c r="A12" s="1"/>
      <c r="B12" s="82" t="s">
        <v>286</v>
      </c>
      <c r="C12" s="9">
        <v>64472</v>
      </c>
      <c r="D12" s="14" t="s">
        <v>3</v>
      </c>
      <c r="E12" s="1"/>
      <c r="F12" s="1"/>
    </row>
    <row r="13" spans="1:6" x14ac:dyDescent="0.35">
      <c r="A13" s="1"/>
      <c r="B13" s="82" t="s">
        <v>287</v>
      </c>
      <c r="C13" s="9">
        <v>52172</v>
      </c>
      <c r="D13" s="14" t="s">
        <v>3</v>
      </c>
      <c r="E13" s="1"/>
      <c r="F13" s="1"/>
    </row>
    <row r="14" spans="1:6" x14ac:dyDescent="0.35">
      <c r="A14" s="1"/>
      <c r="B14" s="82" t="s">
        <v>292</v>
      </c>
      <c r="C14" s="9">
        <v>607435</v>
      </c>
      <c r="D14" s="14" t="s">
        <v>3</v>
      </c>
      <c r="E14" s="1"/>
      <c r="F14" s="1"/>
    </row>
    <row r="15" spans="1:6" x14ac:dyDescent="0.35">
      <c r="A15" s="1"/>
      <c r="B15" s="82" t="s">
        <v>293</v>
      </c>
      <c r="C15" s="9">
        <v>6168328</v>
      </c>
      <c r="D15" s="14" t="s">
        <v>3</v>
      </c>
      <c r="E15" s="1"/>
      <c r="F15" s="1"/>
    </row>
    <row r="16" spans="1:6" x14ac:dyDescent="0.35">
      <c r="A16" s="1"/>
      <c r="B16" s="82"/>
      <c r="C16" s="9"/>
      <c r="D16" s="14" t="s">
        <v>3</v>
      </c>
      <c r="E16" s="1"/>
      <c r="F16" s="1"/>
    </row>
    <row r="17" spans="1:6" x14ac:dyDescent="0.35">
      <c r="A17" s="1"/>
      <c r="B17" s="82"/>
      <c r="C17" s="9"/>
      <c r="D17" s="14" t="s">
        <v>3</v>
      </c>
      <c r="E17" s="1"/>
      <c r="F17" s="1"/>
    </row>
    <row r="18" spans="1:6" x14ac:dyDescent="0.35">
      <c r="A18" s="1"/>
      <c r="B18" s="82"/>
      <c r="C18" s="9"/>
      <c r="D18" s="14" t="s">
        <v>3</v>
      </c>
      <c r="E18" s="1"/>
      <c r="F18" s="1"/>
    </row>
    <row r="19" spans="1:6" x14ac:dyDescent="0.35">
      <c r="A19" s="1"/>
      <c r="B19" s="82"/>
      <c r="C19" s="9"/>
      <c r="D19" s="14" t="s">
        <v>3</v>
      </c>
      <c r="E19" s="1"/>
      <c r="F19" s="1"/>
    </row>
    <row r="20" spans="1:6" x14ac:dyDescent="0.35">
      <c r="A20" s="1"/>
      <c r="B20" s="33" t="s">
        <v>226</v>
      </c>
      <c r="C20" s="12">
        <f>SUM(C10:C19)</f>
        <v>42750640</v>
      </c>
      <c r="D20" s="13" t="s">
        <v>3</v>
      </c>
      <c r="E20" s="1"/>
      <c r="F20" s="1"/>
    </row>
    <row r="21" spans="1:6" x14ac:dyDescent="0.35">
      <c r="A21" s="1"/>
      <c r="B21" s="33" t="s">
        <v>227</v>
      </c>
      <c r="C21" s="12">
        <f>C20*(1+'Fane 15. Nøgletal'!C16)^2</f>
        <v>49938246.962329596</v>
      </c>
      <c r="D21" s="13" t="s">
        <v>3</v>
      </c>
      <c r="E21" s="1"/>
      <c r="F21" s="1"/>
    </row>
    <row r="22" spans="1:6" x14ac:dyDescent="0.35">
      <c r="A22" s="1"/>
      <c r="B22" s="16"/>
      <c r="C22" s="15"/>
      <c r="D22" s="15"/>
      <c r="E22" s="1"/>
      <c r="F22" s="1"/>
    </row>
    <row r="23" spans="1:6" x14ac:dyDescent="0.35">
      <c r="A23" s="1"/>
      <c r="B23" s="16"/>
      <c r="C23" s="15"/>
      <c r="D23" s="15"/>
      <c r="E23" s="1"/>
      <c r="F23" s="1"/>
    </row>
    <row r="24" spans="1:6" x14ac:dyDescent="0.35">
      <c r="A24" s="1"/>
      <c r="B24" s="115" t="s">
        <v>99</v>
      </c>
      <c r="C24" s="116"/>
      <c r="D24" s="117"/>
      <c r="E24" s="1"/>
      <c r="F24" s="1"/>
    </row>
    <row r="25" spans="1:6" x14ac:dyDescent="0.35">
      <c r="A25" s="1"/>
      <c r="B25" s="82" t="s">
        <v>109</v>
      </c>
      <c r="C25" s="9">
        <v>6340168</v>
      </c>
      <c r="D25" s="14" t="s">
        <v>3</v>
      </c>
      <c r="E25" s="1"/>
      <c r="F25" s="1"/>
    </row>
    <row r="26" spans="1:6" x14ac:dyDescent="0.35">
      <c r="A26" s="1"/>
      <c r="B26" s="82" t="s">
        <v>123</v>
      </c>
      <c r="C26" s="9">
        <v>5950533</v>
      </c>
      <c r="D26" s="14" t="s">
        <v>3</v>
      </c>
      <c r="E26" s="1"/>
      <c r="F26" s="1"/>
    </row>
    <row r="27" spans="1:6" x14ac:dyDescent="0.35">
      <c r="A27" s="1"/>
      <c r="B27" s="82" t="s">
        <v>142</v>
      </c>
      <c r="C27" s="9">
        <v>1717694</v>
      </c>
      <c r="D27" s="14" t="s">
        <v>3</v>
      </c>
      <c r="E27" s="1"/>
      <c r="F27" s="1"/>
    </row>
    <row r="28" spans="1:6" x14ac:dyDescent="0.35">
      <c r="A28" s="1"/>
      <c r="B28" s="34" t="s">
        <v>261</v>
      </c>
      <c r="C28" s="9">
        <v>1722516</v>
      </c>
      <c r="D28" s="38" t="s">
        <v>3</v>
      </c>
      <c r="E28" s="1"/>
      <c r="F28" s="1"/>
    </row>
    <row r="29" spans="1:6" x14ac:dyDescent="0.35">
      <c r="A29" s="1"/>
      <c r="B29" s="115"/>
      <c r="C29" s="116"/>
      <c r="D29" s="117"/>
      <c r="E29" s="1"/>
      <c r="F29" s="1"/>
    </row>
    <row r="30" spans="1:6" x14ac:dyDescent="0.35">
      <c r="A30" s="1"/>
      <c r="B30" s="1"/>
      <c r="C30" s="1"/>
      <c r="D30" s="1"/>
      <c r="E30" s="1"/>
      <c r="F30" s="1"/>
    </row>
    <row r="31" spans="1:6" x14ac:dyDescent="0.35">
      <c r="A31" s="1"/>
      <c r="B31" s="1"/>
      <c r="C31" s="1"/>
      <c r="D31" s="1"/>
      <c r="E31" s="1"/>
      <c r="F31" s="1"/>
    </row>
    <row r="32" spans="1:6" x14ac:dyDescent="0.35">
      <c r="A32" s="1"/>
      <c r="B32" s="115" t="s">
        <v>81</v>
      </c>
      <c r="C32" s="116"/>
      <c r="D32" s="117"/>
      <c r="E32" s="1"/>
      <c r="F32" s="1"/>
    </row>
    <row r="33" spans="1:6" x14ac:dyDescent="0.35">
      <c r="A33" s="1"/>
      <c r="B33" s="82" t="s">
        <v>109</v>
      </c>
      <c r="C33" s="9">
        <v>0</v>
      </c>
      <c r="D33" s="14" t="s">
        <v>3</v>
      </c>
      <c r="E33" s="1"/>
      <c r="F33" s="1"/>
    </row>
    <row r="34" spans="1:6" x14ac:dyDescent="0.35">
      <c r="A34" s="1"/>
      <c r="B34" s="82" t="s">
        <v>123</v>
      </c>
      <c r="C34" s="9">
        <v>0</v>
      </c>
      <c r="D34" s="14" t="s">
        <v>3</v>
      </c>
      <c r="E34" s="1"/>
      <c r="F34" s="1"/>
    </row>
    <row r="35" spans="1:6" x14ac:dyDescent="0.35">
      <c r="A35" s="1"/>
      <c r="B35" s="82" t="s">
        <v>142</v>
      </c>
      <c r="C35" s="9">
        <v>0</v>
      </c>
      <c r="D35" s="14" t="s">
        <v>3</v>
      </c>
      <c r="E35" s="1"/>
      <c r="F35" s="1"/>
    </row>
    <row r="36" spans="1:6" x14ac:dyDescent="0.35">
      <c r="A36" s="1"/>
      <c r="B36" s="34" t="s">
        <v>261</v>
      </c>
      <c r="C36" s="9">
        <v>0</v>
      </c>
      <c r="D36" s="38" t="s">
        <v>3</v>
      </c>
      <c r="E36" s="1"/>
      <c r="F36" s="1"/>
    </row>
    <row r="37" spans="1:6" x14ac:dyDescent="0.35">
      <c r="A37" s="1"/>
      <c r="B37" s="115"/>
      <c r="C37" s="116"/>
      <c r="D37" s="117"/>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row r="49" spans="1:6" x14ac:dyDescent="0.35">
      <c r="A49" s="1"/>
      <c r="B49" s="1"/>
      <c r="C49" s="1"/>
      <c r="D49" s="1"/>
      <c r="E49" s="1"/>
      <c r="F49" s="1"/>
    </row>
    <row r="50" spans="1:6" x14ac:dyDescent="0.35">
      <c r="A50" s="1"/>
      <c r="B50" s="1"/>
      <c r="C50" s="1"/>
      <c r="D50" s="1"/>
      <c r="E50" s="1"/>
      <c r="F50" s="1"/>
    </row>
    <row r="51" spans="1:6" x14ac:dyDescent="0.35">
      <c r="A51" s="47"/>
      <c r="B51" s="47"/>
      <c r="C51" s="47"/>
      <c r="D51" s="47"/>
      <c r="E51" s="47"/>
      <c r="F51" s="47"/>
    </row>
    <row r="52" spans="1:6" x14ac:dyDescent="0.35">
      <c r="A52" s="47"/>
      <c r="B52" s="47"/>
      <c r="C52" s="47"/>
      <c r="D52" s="47"/>
      <c r="E52" s="47"/>
      <c r="F52" s="47"/>
    </row>
    <row r="53" spans="1:6" x14ac:dyDescent="0.35">
      <c r="A53" s="47"/>
      <c r="B53" s="47"/>
      <c r="C53" s="47"/>
      <c r="D53" s="47"/>
      <c r="E53" s="47"/>
      <c r="F53" s="47"/>
    </row>
    <row r="54" spans="1:6" x14ac:dyDescent="0.35">
      <c r="A54" s="47"/>
      <c r="B54" s="47"/>
      <c r="C54" s="47"/>
      <c r="D54" s="47"/>
      <c r="E54" s="47"/>
      <c r="F54" s="47"/>
    </row>
    <row r="55" spans="1:6" x14ac:dyDescent="0.35">
      <c r="A55" s="47"/>
      <c r="B55" s="47"/>
      <c r="C55" s="47"/>
      <c r="D55" s="47"/>
      <c r="E55" s="47"/>
      <c r="F55" s="47"/>
    </row>
    <row r="56" spans="1:6" x14ac:dyDescent="0.35">
      <c r="A56" s="47"/>
      <c r="B56" s="47"/>
      <c r="C56" s="47"/>
      <c r="D56" s="47"/>
      <c r="E56" s="47"/>
      <c r="F56" s="47"/>
    </row>
    <row r="57" spans="1:6" x14ac:dyDescent="0.35">
      <c r="A57" s="47"/>
      <c r="B57" s="47"/>
      <c r="C57" s="47"/>
      <c r="D57" s="47"/>
      <c r="E57" s="47"/>
      <c r="F57" s="47"/>
    </row>
  </sheetData>
  <sheetProtection algorithmName="SHA-512" hashValue="MIzLtTQeAGgyFQ2Me01M0nEi5onv/Fx1ngkEt0sZygLKfG3OhTGzMhh7Z+aIpb/gooyKIP8ZJLedNtEZL5DSjA==" saltValue="f9rildfScx8925mTseQ99g=="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E53DA-B24E-4870-AB4F-ACD6AC9B4BE4}">
  <dimension ref="A1:G51"/>
  <sheetViews>
    <sheetView showGridLines="0" view="pageLayout" zoomScale="90" zoomScaleNormal="100" zoomScalePageLayoutView="90" workbookViewId="0"/>
  </sheetViews>
  <sheetFormatPr defaultColWidth="9.1796875" defaultRowHeight="14.5" x14ac:dyDescent="0.35"/>
  <cols>
    <col min="1" max="1" width="3.26953125" style="2" customWidth="1"/>
    <col min="2" max="3" width="9.1796875" style="2"/>
    <col min="4" max="4" width="45.81640625" style="2" customWidth="1"/>
    <col min="5" max="5" width="12.26953125" style="2" bestFit="1" customWidth="1"/>
    <col min="6" max="6" width="3.26953125" style="2" customWidth="1"/>
    <col min="7" max="7" width="3.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114" t="s">
        <v>206</v>
      </c>
      <c r="C3" s="114"/>
      <c r="D3" s="114"/>
      <c r="E3" s="114"/>
      <c r="F3" s="114"/>
      <c r="G3" s="1"/>
    </row>
    <row r="4" spans="1:7" ht="15" customHeight="1" x14ac:dyDescent="0.35">
      <c r="A4" s="1"/>
      <c r="B4" s="114"/>
      <c r="C4" s="114"/>
      <c r="D4" s="114"/>
      <c r="E4" s="114"/>
      <c r="F4" s="114"/>
      <c r="G4" s="1"/>
    </row>
    <row r="5" spans="1:7" ht="15" customHeight="1" x14ac:dyDescent="0.35">
      <c r="A5" s="1"/>
      <c r="B5" s="75"/>
      <c r="C5" s="75"/>
      <c r="D5" s="75"/>
      <c r="E5" s="75"/>
      <c r="F5" s="75"/>
      <c r="G5" s="1"/>
    </row>
    <row r="6" spans="1:7" ht="15" customHeight="1" x14ac:dyDescent="0.35">
      <c r="A6" s="1"/>
      <c r="B6" s="75"/>
      <c r="C6" s="75"/>
      <c r="D6" s="75"/>
      <c r="E6" s="75"/>
      <c r="F6" s="75"/>
      <c r="G6" s="1"/>
    </row>
    <row r="7" spans="1:7" ht="15" customHeight="1" x14ac:dyDescent="0.35">
      <c r="A7" s="1"/>
      <c r="B7" s="1"/>
      <c r="C7" s="1"/>
      <c r="D7" s="1"/>
      <c r="E7" s="1"/>
      <c r="F7" s="1"/>
      <c r="G7" s="1"/>
    </row>
    <row r="8" spans="1:7" ht="15" customHeight="1" x14ac:dyDescent="0.35">
      <c r="A8" s="1"/>
      <c r="B8" s="115" t="s">
        <v>137</v>
      </c>
      <c r="C8" s="116"/>
      <c r="D8" s="116"/>
      <c r="E8" s="116"/>
      <c r="F8" s="117"/>
      <c r="G8" s="1"/>
    </row>
    <row r="9" spans="1:7" ht="15" customHeight="1" x14ac:dyDescent="0.35">
      <c r="A9" s="1"/>
      <c r="B9" s="118" t="s">
        <v>272</v>
      </c>
      <c r="C9" s="119"/>
      <c r="D9" s="120"/>
      <c r="E9" s="9">
        <v>-6819981</v>
      </c>
      <c r="F9" s="14" t="s">
        <v>3</v>
      </c>
      <c r="G9" s="1"/>
    </row>
    <row r="10" spans="1:7" ht="15" customHeight="1" x14ac:dyDescent="0.35">
      <c r="A10" s="1"/>
      <c r="B10" s="118" t="s">
        <v>143</v>
      </c>
      <c r="C10" s="119"/>
      <c r="D10" s="120"/>
      <c r="E10" s="9">
        <v>2467287</v>
      </c>
      <c r="F10" s="14" t="s">
        <v>3</v>
      </c>
      <c r="G10" s="1"/>
    </row>
    <row r="11" spans="1:7" ht="15" customHeight="1" x14ac:dyDescent="0.35">
      <c r="A11" s="1"/>
      <c r="B11" s="118" t="s">
        <v>273</v>
      </c>
      <c r="C11" s="119"/>
      <c r="D11" s="120"/>
      <c r="E11" s="9">
        <v>-4291370</v>
      </c>
      <c r="F11" s="14" t="s">
        <v>3</v>
      </c>
      <c r="G11" s="1"/>
    </row>
    <row r="12" spans="1:7" x14ac:dyDescent="0.35">
      <c r="A12" s="1"/>
      <c r="B12" s="33"/>
      <c r="C12" s="28"/>
      <c r="D12" s="28"/>
      <c r="E12" s="28"/>
      <c r="F12" s="19"/>
      <c r="G12" s="1"/>
    </row>
    <row r="13" spans="1:7" ht="42" customHeight="1" x14ac:dyDescent="0.35">
      <c r="A13" s="1"/>
      <c r="B13" s="127" t="s">
        <v>274</v>
      </c>
      <c r="C13" s="128"/>
      <c r="D13" s="128"/>
      <c r="E13" s="128"/>
      <c r="F13" s="129"/>
      <c r="G13" s="1"/>
    </row>
    <row r="14" spans="1:7" ht="15" customHeight="1" x14ac:dyDescent="0.35">
      <c r="A14" s="1"/>
      <c r="B14" s="1"/>
      <c r="C14" s="1"/>
      <c r="D14" s="1"/>
      <c r="E14" s="1"/>
      <c r="F14" s="1"/>
      <c r="G14" s="1"/>
    </row>
    <row r="15" spans="1:7" x14ac:dyDescent="0.35">
      <c r="A15" s="1"/>
      <c r="B15" s="76" t="s">
        <v>275</v>
      </c>
      <c r="C15" s="77"/>
      <c r="D15" s="77"/>
      <c r="E15" s="77"/>
      <c r="F15" s="78"/>
      <c r="G15" s="1"/>
    </row>
    <row r="16" spans="1:7" x14ac:dyDescent="0.35">
      <c r="A16" s="1"/>
      <c r="B16" s="79" t="s">
        <v>276</v>
      </c>
      <c r="C16" s="80"/>
      <c r="D16" s="81"/>
      <c r="E16" s="9">
        <f>IF(E11&lt;0,E11,0)</f>
        <v>-4291370</v>
      </c>
      <c r="F16" s="14" t="s">
        <v>3</v>
      </c>
      <c r="G16" s="1"/>
    </row>
    <row r="17" spans="1:7" x14ac:dyDescent="0.35">
      <c r="A17" s="1"/>
      <c r="B17" s="79" t="s">
        <v>277</v>
      </c>
      <c r="C17" s="80"/>
      <c r="D17" s="81"/>
      <c r="E17" s="9">
        <f>IF(SUM(E10)&gt;0,SUM(E10),0)</f>
        <v>2467287</v>
      </c>
      <c r="F17" s="14" t="s">
        <v>3</v>
      </c>
      <c r="G17" s="1"/>
    </row>
    <row r="18" spans="1:7" x14ac:dyDescent="0.35">
      <c r="A18" s="1"/>
      <c r="B18" s="83" t="s">
        <v>278</v>
      </c>
      <c r="C18" s="84"/>
      <c r="D18" s="85"/>
      <c r="E18" s="61">
        <f>IF(SUM(E16:E17)&gt;0,0,SUM(E16:E17))</f>
        <v>-1824083</v>
      </c>
      <c r="F18" s="17" t="s">
        <v>3</v>
      </c>
      <c r="G18" s="1"/>
    </row>
    <row r="19" spans="1:7" x14ac:dyDescent="0.35">
      <c r="A19" s="1"/>
      <c r="B19" s="33"/>
      <c r="C19" s="28"/>
      <c r="D19" s="28"/>
      <c r="E19" s="28"/>
      <c r="F19" s="19"/>
      <c r="G19" s="1"/>
    </row>
    <row r="20" spans="1:7" x14ac:dyDescent="0.35">
      <c r="A20" s="1"/>
      <c r="B20" s="1"/>
      <c r="C20" s="1"/>
      <c r="D20" s="1"/>
      <c r="E20" s="1"/>
      <c r="F20" s="1"/>
      <c r="G20" s="1"/>
    </row>
    <row r="21" spans="1:7" x14ac:dyDescent="0.35">
      <c r="A21" s="1"/>
      <c r="B21" s="76" t="s">
        <v>279</v>
      </c>
      <c r="C21" s="77"/>
      <c r="D21" s="77"/>
      <c r="E21" s="77"/>
      <c r="F21" s="78"/>
      <c r="G21" s="1"/>
    </row>
    <row r="22" spans="1:7" x14ac:dyDescent="0.35">
      <c r="A22" s="1"/>
      <c r="B22" s="79" t="s">
        <v>280</v>
      </c>
      <c r="C22" s="80"/>
      <c r="D22" s="81"/>
      <c r="E22" s="9">
        <v>89919461</v>
      </c>
      <c r="F22" s="14" t="s">
        <v>3</v>
      </c>
      <c r="G22" s="1"/>
    </row>
    <row r="23" spans="1:7" x14ac:dyDescent="0.35">
      <c r="A23" s="1"/>
      <c r="B23" s="79" t="s">
        <v>281</v>
      </c>
      <c r="C23" s="80"/>
      <c r="D23" s="81"/>
      <c r="E23" s="9">
        <v>107085213</v>
      </c>
      <c r="F23" s="14" t="s">
        <v>3</v>
      </c>
      <c r="G23" s="1"/>
    </row>
    <row r="24" spans="1:7" x14ac:dyDescent="0.35">
      <c r="A24" s="1"/>
      <c r="B24" s="79" t="s">
        <v>30</v>
      </c>
      <c r="C24" s="80"/>
      <c r="D24" s="81"/>
      <c r="E24" s="9">
        <v>0</v>
      </c>
      <c r="F24" s="14" t="s">
        <v>3</v>
      </c>
      <c r="G24" s="1"/>
    </row>
    <row r="25" spans="1:7" x14ac:dyDescent="0.35">
      <c r="A25" s="1"/>
      <c r="B25" s="83" t="s">
        <v>282</v>
      </c>
      <c r="C25" s="84"/>
      <c r="D25" s="85"/>
      <c r="E25" s="61">
        <f>E22-E23-E24</f>
        <v>-17165752</v>
      </c>
      <c r="F25" s="17" t="s">
        <v>3</v>
      </c>
      <c r="G25" s="1"/>
    </row>
    <row r="26" spans="1:7" x14ac:dyDescent="0.35">
      <c r="A26" s="1"/>
      <c r="B26" s="33"/>
      <c r="C26" s="28"/>
      <c r="D26" s="28"/>
      <c r="E26" s="28"/>
      <c r="F26" s="19"/>
      <c r="G26" s="1"/>
    </row>
    <row r="27" spans="1:7" x14ac:dyDescent="0.35">
      <c r="A27" s="1"/>
      <c r="B27" s="1"/>
      <c r="C27" s="1"/>
      <c r="D27" s="1"/>
      <c r="E27" s="1"/>
      <c r="F27" s="1"/>
      <c r="G27" s="1"/>
    </row>
    <row r="28" spans="1:7" x14ac:dyDescent="0.35">
      <c r="A28" s="1"/>
      <c r="B28" s="115" t="s">
        <v>283</v>
      </c>
      <c r="C28" s="116"/>
      <c r="D28" s="116"/>
      <c r="E28" s="116"/>
      <c r="F28" s="117"/>
      <c r="G28" s="1"/>
    </row>
    <row r="29" spans="1:7" x14ac:dyDescent="0.35">
      <c r="A29" s="1"/>
      <c r="B29" s="133" t="s">
        <v>116</v>
      </c>
      <c r="C29" s="134"/>
      <c r="D29" s="135"/>
      <c r="E29" s="9">
        <f>IF(E18&lt;0,IF(E25&lt;0,SUM(E18,E25),IF(E10&gt;0,SUM(E10:E11),E18)),IF(AND(E25&lt;0,SUM(E25,E11)&lt;0),IF(E11&lt;0,E25,IF(SUM(E10:E11)&gt;0,SUM(E25,E11),IF(AND(E25&lt;0,E18=0,E11&gt;0),IF(SUM(E9:E11)&gt;0,E25+E11,E25)))),0))</f>
        <v>-18989835</v>
      </c>
      <c r="F29" s="14" t="s">
        <v>3</v>
      </c>
      <c r="G29" s="1"/>
    </row>
    <row r="30" spans="1:7" x14ac:dyDescent="0.35">
      <c r="A30" s="1"/>
      <c r="B30" s="133" t="s">
        <v>84</v>
      </c>
      <c r="C30" s="134"/>
      <c r="D30" s="135"/>
      <c r="E30" s="9">
        <v>2</v>
      </c>
      <c r="F30" s="14" t="s">
        <v>20</v>
      </c>
      <c r="G30" s="1"/>
    </row>
    <row r="31" spans="1:7" x14ac:dyDescent="0.35">
      <c r="A31" s="1"/>
      <c r="B31" s="136" t="s">
        <v>117</v>
      </c>
      <c r="C31" s="137"/>
      <c r="D31" s="138"/>
      <c r="E31" s="10">
        <f>E29/E30</f>
        <v>-9494917.5</v>
      </c>
      <c r="F31" s="17" t="s">
        <v>3</v>
      </c>
      <c r="G31" s="1"/>
    </row>
    <row r="32" spans="1:7" x14ac:dyDescent="0.35">
      <c r="A32" s="1"/>
      <c r="B32" s="139"/>
      <c r="C32" s="140"/>
      <c r="D32" s="140"/>
      <c r="E32" s="140"/>
      <c r="F32" s="14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47"/>
      <c r="B46" s="47"/>
      <c r="C46" s="47"/>
      <c r="D46" s="47"/>
      <c r="E46" s="47"/>
      <c r="F46" s="47"/>
      <c r="G46" s="47"/>
    </row>
    <row r="47" spans="1:7" x14ac:dyDescent="0.35">
      <c r="A47" s="47"/>
      <c r="B47" s="47"/>
      <c r="C47" s="47"/>
      <c r="D47" s="47"/>
      <c r="E47" s="47"/>
      <c r="F47" s="47"/>
      <c r="G47" s="47"/>
    </row>
    <row r="48" spans="1:7" x14ac:dyDescent="0.35">
      <c r="A48" s="47"/>
      <c r="B48" s="47"/>
      <c r="C48" s="47"/>
      <c r="D48" s="47"/>
      <c r="E48" s="47"/>
      <c r="F48" s="47"/>
      <c r="G48" s="47"/>
    </row>
    <row r="49" spans="1:7" x14ac:dyDescent="0.35">
      <c r="A49" s="47"/>
      <c r="B49" s="47"/>
      <c r="C49" s="47"/>
      <c r="D49" s="47"/>
      <c r="E49" s="47"/>
      <c r="F49" s="47"/>
      <c r="G49" s="47"/>
    </row>
    <row r="50" spans="1:7" x14ac:dyDescent="0.35">
      <c r="A50" s="47"/>
      <c r="B50" s="47"/>
      <c r="C50" s="47"/>
      <c r="D50" s="47"/>
      <c r="E50" s="47"/>
      <c r="F50" s="47"/>
      <c r="G50" s="47"/>
    </row>
    <row r="51" spans="1:7" x14ac:dyDescent="0.35">
      <c r="A51" s="47"/>
      <c r="G51" s="47"/>
    </row>
  </sheetData>
  <sheetProtection algorithmName="SHA-512" hashValue="XLa2jFpGJMGMClcCQMmaveZPpJWtGD2ljcND1ndZeD53VnrQfwY7QjJdkfIEHzxXLNZDenkhEfTuDNtFTUAUsg==" saltValue="7WsQVhH8QkJZWuOOOl0FmA=="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796875" defaultRowHeight="14.5" x14ac:dyDescent="0.35"/>
  <cols>
    <col min="1" max="1" width="4.7265625" style="60" customWidth="1"/>
    <col min="2" max="2" width="22.54296875" style="60" customWidth="1"/>
    <col min="3" max="3" width="8.26953125" style="60" customWidth="1"/>
    <col min="4" max="6" width="10.7265625" style="60" customWidth="1"/>
    <col min="7" max="7" width="11.1796875" style="60" customWidth="1"/>
    <col min="8" max="8" width="3.26953125" style="60" customWidth="1"/>
    <col min="9" max="9" width="4.81640625" style="60" customWidth="1"/>
    <col min="10" max="16384" width="9.1796875" style="60"/>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11" t="s">
        <v>170</v>
      </c>
      <c r="C3" s="111"/>
      <c r="D3" s="111"/>
      <c r="E3" s="111"/>
      <c r="F3" s="111"/>
      <c r="G3" s="111"/>
      <c r="H3" s="111"/>
      <c r="I3" s="1"/>
    </row>
    <row r="4" spans="1:9" ht="15" customHeight="1" x14ac:dyDescent="0.35">
      <c r="A4" s="1"/>
      <c r="B4" s="111"/>
      <c r="C4" s="111"/>
      <c r="D4" s="111"/>
      <c r="E4" s="111"/>
      <c r="F4" s="111"/>
      <c r="G4" s="111"/>
      <c r="H4" s="111"/>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115" t="s">
        <v>189</v>
      </c>
      <c r="C8" s="116"/>
      <c r="D8" s="116"/>
      <c r="E8" s="116"/>
      <c r="F8" s="116"/>
      <c r="G8" s="116"/>
      <c r="H8" s="117"/>
      <c r="I8" s="1"/>
    </row>
    <row r="9" spans="1:9" ht="15" customHeight="1" x14ac:dyDescent="0.35">
      <c r="A9" s="1"/>
      <c r="B9" s="145" t="s">
        <v>171</v>
      </c>
      <c r="C9" s="146"/>
      <c r="D9" s="146"/>
      <c r="E9" s="146"/>
      <c r="F9" s="146"/>
      <c r="G9" s="146"/>
      <c r="H9" s="147"/>
      <c r="I9" s="1"/>
    </row>
    <row r="10" spans="1:9" x14ac:dyDescent="0.35">
      <c r="A10" s="1"/>
      <c r="B10" s="142" t="s">
        <v>172</v>
      </c>
      <c r="C10" s="143"/>
      <c r="D10" s="143"/>
      <c r="E10" s="143"/>
      <c r="F10" s="144"/>
      <c r="G10" s="9">
        <v>0</v>
      </c>
      <c r="H10" s="9" t="s">
        <v>3</v>
      </c>
      <c r="I10" s="1"/>
    </row>
    <row r="11" spans="1:9" x14ac:dyDescent="0.35">
      <c r="A11" s="1"/>
      <c r="B11" s="142" t="s">
        <v>173</v>
      </c>
      <c r="C11" s="143"/>
      <c r="D11" s="143"/>
      <c r="E11" s="143"/>
      <c r="F11" s="144"/>
      <c r="G11" s="9">
        <v>0</v>
      </c>
      <c r="H11" s="9" t="s">
        <v>3</v>
      </c>
      <c r="I11" s="1"/>
    </row>
    <row r="12" spans="1:9" x14ac:dyDescent="0.35">
      <c r="A12" s="1"/>
      <c r="B12" s="142" t="s">
        <v>174</v>
      </c>
      <c r="C12" s="143"/>
      <c r="D12" s="143"/>
      <c r="E12" s="143"/>
      <c r="F12" s="144"/>
      <c r="G12" s="9">
        <v>0</v>
      </c>
      <c r="H12" s="9" t="s">
        <v>3</v>
      </c>
      <c r="I12" s="1"/>
    </row>
    <row r="13" spans="1:9" x14ac:dyDescent="0.35">
      <c r="A13" s="1"/>
      <c r="B13" s="142" t="s">
        <v>175</v>
      </c>
      <c r="C13" s="143"/>
      <c r="D13" s="143"/>
      <c r="E13" s="143"/>
      <c r="F13" s="144"/>
      <c r="G13" s="9">
        <v>0</v>
      </c>
      <c r="H13" s="9" t="s">
        <v>3</v>
      </c>
      <c r="I13" s="1"/>
    </row>
    <row r="14" spans="1:9" x14ac:dyDescent="0.35">
      <c r="A14" s="1"/>
      <c r="B14" s="142" t="s">
        <v>176</v>
      </c>
      <c r="C14" s="143"/>
      <c r="D14" s="143"/>
      <c r="E14" s="143"/>
      <c r="F14" s="144"/>
      <c r="G14" s="9">
        <v>0</v>
      </c>
      <c r="H14" s="9" t="s">
        <v>3</v>
      </c>
      <c r="I14" s="1"/>
    </row>
    <row r="15" spans="1:9" x14ac:dyDescent="0.35">
      <c r="A15" s="1"/>
      <c r="B15" s="142" t="s">
        <v>177</v>
      </c>
      <c r="C15" s="143"/>
      <c r="D15" s="143"/>
      <c r="E15" s="143"/>
      <c r="F15" s="144"/>
      <c r="G15" s="9">
        <v>0</v>
      </c>
      <c r="H15" s="9" t="s">
        <v>3</v>
      </c>
      <c r="I15" s="1"/>
    </row>
    <row r="16" spans="1:9" x14ac:dyDescent="0.35">
      <c r="A16" s="1"/>
      <c r="B16" s="142" t="s">
        <v>178</v>
      </c>
      <c r="C16" s="143"/>
      <c r="D16" s="143"/>
      <c r="E16" s="143"/>
      <c r="F16" s="144"/>
      <c r="G16" s="9">
        <v>0</v>
      </c>
      <c r="H16" s="9" t="s">
        <v>3</v>
      </c>
      <c r="I16" s="1"/>
    </row>
    <row r="17" spans="1:9" x14ac:dyDescent="0.35">
      <c r="A17" s="1"/>
      <c r="B17" s="142" t="s">
        <v>179</v>
      </c>
      <c r="C17" s="143"/>
      <c r="D17" s="143"/>
      <c r="E17" s="143"/>
      <c r="F17" s="144"/>
      <c r="G17" s="9">
        <v>0</v>
      </c>
      <c r="H17" s="9" t="s">
        <v>3</v>
      </c>
      <c r="I17" s="1"/>
    </row>
    <row r="18" spans="1:9" x14ac:dyDescent="0.35">
      <c r="A18" s="1"/>
      <c r="B18" s="115" t="s">
        <v>180</v>
      </c>
      <c r="C18" s="116"/>
      <c r="D18" s="116"/>
      <c r="E18" s="116"/>
      <c r="F18" s="117"/>
      <c r="G18" s="12">
        <f>SUM(G10:G17)</f>
        <v>0</v>
      </c>
      <c r="H18" s="13"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sheetData>
  <sheetProtection algorithmName="SHA-512" hashValue="MlxEUXO6auwPenzePH5QwBZ06WwGtQnl2O74drBYPtFL+aYv4mJEloX5uMpyRclLa/9o1P2su5ncA77jHt8K4Q==" saltValue="eNq9EY6fe9XdRHoAEQX4ZA==" spinCount="100000" sheet="1" objects="1" scenarios="1"/>
  <mergeCells count="12">
    <mergeCell ref="B18:F18"/>
    <mergeCell ref="B13:F13"/>
    <mergeCell ref="B14:F14"/>
    <mergeCell ref="B15:F15"/>
    <mergeCell ref="B16:F16"/>
    <mergeCell ref="B17:F17"/>
    <mergeCell ref="B12:F12"/>
    <mergeCell ref="B9:H9"/>
    <mergeCell ref="B3:H4"/>
    <mergeCell ref="B8:H8"/>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5.54296875" style="2" customWidth="1"/>
    <col min="5" max="5" width="12.7265625" style="2" bestFit="1"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114" t="s">
        <v>207</v>
      </c>
      <c r="C3" s="114"/>
      <c r="D3" s="114"/>
      <c r="E3" s="114"/>
      <c r="F3" s="114"/>
      <c r="G3" s="1"/>
    </row>
    <row r="4" spans="1:7" ht="15" customHeight="1" x14ac:dyDescent="0.35">
      <c r="A4" s="1"/>
      <c r="B4" s="114"/>
      <c r="C4" s="114"/>
      <c r="D4" s="114"/>
      <c r="E4" s="114"/>
      <c r="F4" s="114"/>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15" t="s">
        <v>228</v>
      </c>
      <c r="C9" s="116"/>
      <c r="D9" s="116"/>
      <c r="E9" s="116"/>
      <c r="F9" s="117"/>
      <c r="G9" s="1"/>
    </row>
    <row r="10" spans="1:7" x14ac:dyDescent="0.35">
      <c r="A10" s="1"/>
      <c r="B10" s="127" t="s">
        <v>82</v>
      </c>
      <c r="C10" s="128"/>
      <c r="D10" s="129"/>
      <c r="E10" s="7">
        <v>0</v>
      </c>
      <c r="F10" s="8" t="s">
        <v>3</v>
      </c>
      <c r="G10" s="1"/>
    </row>
    <row r="11" spans="1:7" x14ac:dyDescent="0.35">
      <c r="A11" s="1"/>
      <c r="B11" s="118" t="s">
        <v>229</v>
      </c>
      <c r="C11" s="119"/>
      <c r="D11" s="120"/>
      <c r="E11" s="7">
        <v>0</v>
      </c>
      <c r="F11" s="8" t="s">
        <v>3</v>
      </c>
      <c r="G11" s="1"/>
    </row>
    <row r="12" spans="1:7" x14ac:dyDescent="0.35">
      <c r="A12" s="1"/>
      <c r="B12" s="136" t="s">
        <v>83</v>
      </c>
      <c r="C12" s="137"/>
      <c r="D12" s="138"/>
      <c r="E12" s="10">
        <f>E11-E10</f>
        <v>0</v>
      </c>
      <c r="F12" s="11" t="s">
        <v>3</v>
      </c>
      <c r="G12" s="1"/>
    </row>
    <row r="13" spans="1:7" x14ac:dyDescent="0.35">
      <c r="A13" s="1"/>
      <c r="B13" s="115" t="s">
        <v>78</v>
      </c>
      <c r="C13" s="116"/>
      <c r="D13" s="116"/>
      <c r="E13" s="116"/>
      <c r="F13" s="117"/>
      <c r="G13" s="1"/>
    </row>
    <row r="14" spans="1:7" x14ac:dyDescent="0.35">
      <c r="A14" s="1"/>
      <c r="B14" s="118" t="s">
        <v>230</v>
      </c>
      <c r="C14" s="119"/>
      <c r="D14" s="120"/>
      <c r="E14" s="7">
        <v>6618896</v>
      </c>
      <c r="F14" s="8" t="s">
        <v>3</v>
      </c>
      <c r="G14" s="1"/>
    </row>
    <row r="15" spans="1:7" x14ac:dyDescent="0.35">
      <c r="A15" s="1"/>
      <c r="B15" s="127" t="s">
        <v>231</v>
      </c>
      <c r="C15" s="128"/>
      <c r="D15" s="129"/>
      <c r="E15" s="7">
        <v>6004092</v>
      </c>
      <c r="F15" s="8" t="s">
        <v>3</v>
      </c>
      <c r="G15" s="1"/>
    </row>
    <row r="16" spans="1:7" x14ac:dyDescent="0.35">
      <c r="A16" s="1"/>
      <c r="B16" s="136" t="s">
        <v>83</v>
      </c>
      <c r="C16" s="137"/>
      <c r="D16" s="138"/>
      <c r="E16" s="10">
        <f>E15-E14</f>
        <v>-614804</v>
      </c>
      <c r="F16" s="11" t="s">
        <v>3</v>
      </c>
      <c r="G16" s="1"/>
    </row>
    <row r="17" spans="1:7" x14ac:dyDescent="0.35">
      <c r="A17" s="1"/>
      <c r="B17" s="33" t="s">
        <v>232</v>
      </c>
      <c r="C17" s="28"/>
      <c r="D17" s="28"/>
      <c r="E17" s="12">
        <f>E12+E16</f>
        <v>-614804</v>
      </c>
      <c r="F17" s="13" t="s">
        <v>3</v>
      </c>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sJ0+PlOjubZ9sO4FwGuuM4J4KkGluD6Nc3KIXEW0THUjxJHKTakQJg6COmu6fejkL6TC9xuRTK9RBYvDSuVOA==" saltValue="/Mr4wEmfhIKpdrlL1b9l/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796875" defaultRowHeight="14.5" x14ac:dyDescent="0.35"/>
  <cols>
    <col min="1" max="1" width="4.7265625" style="2" customWidth="1"/>
    <col min="2" max="2" width="21.7265625" style="2" customWidth="1"/>
    <col min="3" max="3" width="8.81640625" style="2" customWidth="1"/>
    <col min="4" max="4" width="9.1796875" style="2" customWidth="1"/>
    <col min="5" max="5" width="2.453125" style="2" customWidth="1"/>
    <col min="6" max="6" width="9.1796875" style="2" customWidth="1"/>
    <col min="7" max="7" width="2.453125" style="2" customWidth="1"/>
    <col min="8" max="8" width="9.1796875" style="2" customWidth="1"/>
    <col min="9" max="9" width="2.453125" style="2" customWidth="1"/>
    <col min="10" max="10" width="9.1796875" style="2" customWidth="1"/>
    <col min="11" max="11" width="2.453125" style="2" customWidth="1"/>
    <col min="12" max="12" width="4.8164062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111" t="s">
        <v>182</v>
      </c>
      <c r="C3" s="111"/>
      <c r="D3" s="111"/>
      <c r="E3" s="111"/>
      <c r="F3" s="111"/>
      <c r="G3" s="111"/>
      <c r="H3" s="111"/>
      <c r="I3" s="111"/>
      <c r="J3" s="111"/>
      <c r="K3" s="111"/>
      <c r="L3" s="1"/>
    </row>
    <row r="4" spans="1:12" ht="15" customHeight="1" x14ac:dyDescent="0.35">
      <c r="A4" s="1"/>
      <c r="B4" s="111"/>
      <c r="C4" s="111"/>
      <c r="D4" s="111"/>
      <c r="E4" s="111"/>
      <c r="F4" s="111"/>
      <c r="G4" s="111"/>
      <c r="H4" s="111"/>
      <c r="I4" s="111"/>
      <c r="J4" s="111"/>
      <c r="K4" s="111"/>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115" t="s">
        <v>149</v>
      </c>
      <c r="C8" s="116"/>
      <c r="D8" s="116"/>
      <c r="E8" s="116"/>
      <c r="F8" s="116"/>
      <c r="G8" s="116"/>
      <c r="H8" s="116"/>
      <c r="I8" s="116"/>
      <c r="J8" s="116"/>
      <c r="K8" s="117"/>
      <c r="L8" s="1"/>
    </row>
    <row r="9" spans="1:12" ht="39.75" customHeight="1" x14ac:dyDescent="0.35">
      <c r="A9" s="1"/>
      <c r="B9" s="18" t="s">
        <v>0</v>
      </c>
      <c r="C9" s="18" t="s">
        <v>1</v>
      </c>
      <c r="D9" s="148" t="s">
        <v>165</v>
      </c>
      <c r="E9" s="149"/>
      <c r="F9" s="148" t="s">
        <v>2</v>
      </c>
      <c r="G9" s="149"/>
      <c r="H9" s="148" t="s">
        <v>164</v>
      </c>
      <c r="I9" s="149"/>
      <c r="J9" s="148" t="s">
        <v>27</v>
      </c>
      <c r="K9" s="149"/>
      <c r="L9" s="1"/>
    </row>
    <row r="10" spans="1:12" x14ac:dyDescent="0.35">
      <c r="A10" s="1"/>
      <c r="B10" s="86" t="s">
        <v>265</v>
      </c>
      <c r="C10" s="9">
        <v>0</v>
      </c>
      <c r="D10" s="9">
        <v>0</v>
      </c>
      <c r="E10" s="14" t="s">
        <v>3</v>
      </c>
      <c r="F10" s="9">
        <f>IFERROR(D10/C10,0)</f>
        <v>0</v>
      </c>
      <c r="G10" s="14" t="s">
        <v>3</v>
      </c>
      <c r="H10" s="41">
        <v>0</v>
      </c>
      <c r="I10" s="14" t="s">
        <v>3</v>
      </c>
      <c r="J10" s="41">
        <v>0</v>
      </c>
      <c r="K10" s="14" t="s">
        <v>3</v>
      </c>
      <c r="L10" s="1"/>
    </row>
    <row r="11" spans="1:12" x14ac:dyDescent="0.35">
      <c r="A11" s="1"/>
      <c r="B11" s="76" t="s">
        <v>150</v>
      </c>
      <c r="C11" s="77"/>
      <c r="D11" s="78"/>
      <c r="E11" s="78"/>
      <c r="F11" s="12">
        <f>SUM(F10:F10)</f>
        <v>0</v>
      </c>
      <c r="G11" s="12" t="s">
        <v>163</v>
      </c>
      <c r="H11" s="12">
        <f>SUM(H10:H10)</f>
        <v>0</v>
      </c>
      <c r="I11" s="12" t="s">
        <v>163</v>
      </c>
      <c r="J11" s="12">
        <f>SUM(J10:J10)</f>
        <v>0</v>
      </c>
      <c r="K11" s="13"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47"/>
      <c r="B45" s="47"/>
      <c r="C45" s="47"/>
      <c r="D45" s="47"/>
      <c r="E45" s="47"/>
      <c r="F45" s="47"/>
      <c r="G45" s="47"/>
      <c r="H45" s="47"/>
      <c r="I45" s="47"/>
      <c r="J45" s="47"/>
      <c r="K45" s="47"/>
      <c r="L45" s="47"/>
    </row>
    <row r="46" spans="1:12" x14ac:dyDescent="0.35">
      <c r="A46" s="47"/>
      <c r="B46" s="47"/>
      <c r="C46" s="47"/>
      <c r="D46" s="47"/>
      <c r="E46" s="47"/>
      <c r="F46" s="47"/>
      <c r="G46" s="47"/>
      <c r="H46" s="47"/>
      <c r="I46" s="47"/>
      <c r="J46" s="47"/>
      <c r="K46" s="47"/>
      <c r="L46" s="47"/>
    </row>
  </sheetData>
  <sheetProtection algorithmName="SHA-512" hashValue="rn1SuaSf8P6Ihm4N9lxmhOJyTWfBCH20jl3Vq+/R1Q9XGPNFmLrftH4adJPMgqqjuVApT/RgiGV2ob9GX2gusQ==" saltValue="Tb2bPkNRjlAxfTm4nRE73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11" t="s">
        <v>183</v>
      </c>
      <c r="C3" s="111"/>
      <c r="D3" s="111"/>
      <c r="E3" s="111"/>
      <c r="F3" s="111"/>
      <c r="G3" s="1"/>
    </row>
    <row r="4" spans="1:7" ht="15" customHeight="1" x14ac:dyDescent="0.35">
      <c r="A4" s="1"/>
      <c r="B4" s="111"/>
      <c r="C4" s="111"/>
      <c r="D4" s="111"/>
      <c r="E4" s="111"/>
      <c r="F4" s="111"/>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33" t="s">
        <v>69</v>
      </c>
      <c r="C8" s="28"/>
      <c r="D8" s="28"/>
      <c r="E8" s="28"/>
      <c r="F8" s="19"/>
      <c r="G8" s="1"/>
    </row>
    <row r="9" spans="1:7" ht="17.25" customHeight="1" x14ac:dyDescent="0.35">
      <c r="A9" s="1"/>
      <c r="B9" s="87" t="s">
        <v>17</v>
      </c>
      <c r="C9" s="87" t="s">
        <v>11</v>
      </c>
      <c r="D9" s="88"/>
      <c r="E9" s="87" t="s">
        <v>28</v>
      </c>
      <c r="F9" s="32"/>
      <c r="G9" s="1"/>
    </row>
    <row r="10" spans="1:7" x14ac:dyDescent="0.35">
      <c r="A10" s="1"/>
      <c r="B10" s="24" t="s">
        <v>153</v>
      </c>
      <c r="C10" s="21">
        <f>'Fane 10. Anlægsprojekter (§ 19)'!H11</f>
        <v>0</v>
      </c>
      <c r="D10" s="14" t="s">
        <v>3</v>
      </c>
      <c r="E10" s="9">
        <f>SUM('Fane 10. Anlægsprojekter (§ 19)'!F11,'Fane 10. Anlægsprojekter (§ 19)'!J11)</f>
        <v>0</v>
      </c>
      <c r="F10" s="14" t="s">
        <v>3</v>
      </c>
      <c r="G10" s="1"/>
    </row>
    <row r="11" spans="1:7" x14ac:dyDescent="0.35">
      <c r="A11" s="1"/>
      <c r="B11" s="24" t="s">
        <v>288</v>
      </c>
      <c r="C11" s="21">
        <v>312408</v>
      </c>
      <c r="D11" s="14" t="s">
        <v>3</v>
      </c>
      <c r="E11" s="9">
        <v>0</v>
      </c>
      <c r="F11" s="14" t="s">
        <v>3</v>
      </c>
      <c r="G11" s="1"/>
    </row>
    <row r="12" spans="1:7" x14ac:dyDescent="0.35">
      <c r="A12" s="1"/>
      <c r="B12" s="24" t="s">
        <v>289</v>
      </c>
      <c r="C12" s="21">
        <v>0</v>
      </c>
      <c r="D12" s="14" t="s">
        <v>3</v>
      </c>
      <c r="E12" s="9">
        <v>1990763</v>
      </c>
      <c r="F12" s="14" t="s">
        <v>3</v>
      </c>
      <c r="G12" s="1"/>
    </row>
    <row r="13" spans="1:7" x14ac:dyDescent="0.35">
      <c r="A13" s="1"/>
      <c r="B13" s="24" t="s">
        <v>290</v>
      </c>
      <c r="C13" s="21">
        <v>0</v>
      </c>
      <c r="D13" s="14" t="s">
        <v>3</v>
      </c>
      <c r="E13" s="9">
        <v>435937</v>
      </c>
      <c r="F13" s="14" t="s">
        <v>3</v>
      </c>
      <c r="G13" s="1"/>
    </row>
    <row r="14" spans="1:7" x14ac:dyDescent="0.35">
      <c r="A14" s="1"/>
      <c r="B14" s="24"/>
      <c r="C14" s="21"/>
      <c r="D14" s="14" t="s">
        <v>3</v>
      </c>
      <c r="E14" s="9"/>
      <c r="F14" s="14" t="s">
        <v>3</v>
      </c>
      <c r="G14" s="1"/>
    </row>
    <row r="15" spans="1:7" x14ac:dyDescent="0.35">
      <c r="A15" s="1"/>
      <c r="B15" s="24"/>
      <c r="C15" s="21"/>
      <c r="D15" s="14" t="s">
        <v>3</v>
      </c>
      <c r="E15" s="9"/>
      <c r="F15" s="14" t="s">
        <v>3</v>
      </c>
      <c r="G15" s="1"/>
    </row>
    <row r="16" spans="1:7" x14ac:dyDescent="0.35">
      <c r="A16" s="1"/>
      <c r="B16" s="24"/>
      <c r="C16" s="21"/>
      <c r="D16" s="14" t="s">
        <v>3</v>
      </c>
      <c r="E16" s="9"/>
      <c r="F16" s="14" t="s">
        <v>3</v>
      </c>
      <c r="G16" s="1"/>
    </row>
    <row r="17" spans="1:7" x14ac:dyDescent="0.35">
      <c r="A17" s="1"/>
      <c r="B17" s="24"/>
      <c r="C17" s="21"/>
      <c r="D17" s="14" t="s">
        <v>3</v>
      </c>
      <c r="E17" s="9"/>
      <c r="F17" s="14" t="s">
        <v>3</v>
      </c>
      <c r="G17" s="1"/>
    </row>
    <row r="18" spans="1:7" x14ac:dyDescent="0.35">
      <c r="A18" s="1"/>
      <c r="B18" s="24"/>
      <c r="C18" s="21"/>
      <c r="D18" s="14" t="s">
        <v>3</v>
      </c>
      <c r="E18" s="9"/>
      <c r="F18" s="14" t="s">
        <v>3</v>
      </c>
      <c r="G18" s="1"/>
    </row>
    <row r="19" spans="1:7" x14ac:dyDescent="0.35">
      <c r="A19" s="1"/>
      <c r="B19" s="33" t="s">
        <v>144</v>
      </c>
      <c r="C19" s="12">
        <f>SUM(C10:C18)</f>
        <v>312408</v>
      </c>
      <c r="D19" s="13" t="s">
        <v>3</v>
      </c>
      <c r="E19" s="12">
        <f>SUM(E10:E18)</f>
        <v>2426700</v>
      </c>
      <c r="F19" s="13" t="s">
        <v>3</v>
      </c>
      <c r="G19" s="1"/>
    </row>
    <row r="20" spans="1:7" x14ac:dyDescent="0.35">
      <c r="A20" s="1"/>
      <c r="B20" s="33" t="s">
        <v>233</v>
      </c>
      <c r="C20" s="12">
        <f>C19*(1+'Fane 15. Nøgletal'!C16)</f>
        <v>337650.56640000001</v>
      </c>
      <c r="D20" s="13" t="s">
        <v>3</v>
      </c>
      <c r="E20" s="12">
        <f>E19*(1+'Fane 15. Nøgletal'!C16)</f>
        <v>2622777.36</v>
      </c>
      <c r="F20" s="13" t="s">
        <v>3</v>
      </c>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VR3p205u5/4w/AlIuLtwdP7JCm/3FVOa+LKlI2gZZjLPoplZ5BtOt8VcWxrwQjxn7raZ7OsOOH8ix2yczk5WZA==" saltValue="BT/9+jNvaExv9MoDTsKdv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8"/>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453125" style="2" bestFit="1" customWidth="1"/>
    <col min="5" max="5" width="17.7265625" style="2" bestFit="1"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11" t="s">
        <v>184</v>
      </c>
      <c r="C3" s="111"/>
      <c r="D3" s="111"/>
      <c r="E3" s="111"/>
      <c r="F3" s="111"/>
      <c r="G3" s="1"/>
    </row>
    <row r="4" spans="1:7" ht="15" customHeight="1" x14ac:dyDescent="0.35">
      <c r="A4" s="1"/>
      <c r="B4" s="111"/>
      <c r="C4" s="111"/>
      <c r="D4" s="111"/>
      <c r="E4" s="111"/>
      <c r="F4" s="111"/>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15" t="s">
        <v>260</v>
      </c>
      <c r="C8" s="116"/>
      <c r="D8" s="116"/>
      <c r="E8" s="116"/>
      <c r="F8" s="117"/>
      <c r="G8" s="1"/>
    </row>
    <row r="9" spans="1:7" x14ac:dyDescent="0.35">
      <c r="A9" s="1"/>
      <c r="B9" s="87" t="s">
        <v>17</v>
      </c>
      <c r="C9" s="87" t="s">
        <v>11</v>
      </c>
      <c r="D9" s="88"/>
      <c r="E9" s="87" t="s">
        <v>28</v>
      </c>
      <c r="F9" s="32"/>
      <c r="G9" s="1"/>
    </row>
    <row r="10" spans="1:7" x14ac:dyDescent="0.35">
      <c r="A10" s="1"/>
      <c r="B10" s="24" t="s">
        <v>291</v>
      </c>
      <c r="C10" s="21">
        <v>190504</v>
      </c>
      <c r="D10" s="14" t="s">
        <v>3</v>
      </c>
      <c r="E10" s="9">
        <v>0</v>
      </c>
      <c r="F10" s="14" t="s">
        <v>3</v>
      </c>
      <c r="G10" s="1"/>
    </row>
    <row r="11" spans="1:7" x14ac:dyDescent="0.35">
      <c r="A11" s="1"/>
      <c r="B11" s="33" t="s">
        <v>234</v>
      </c>
      <c r="C11" s="12">
        <f>SUM(C10:C10)</f>
        <v>190504</v>
      </c>
      <c r="D11" s="13" t="s">
        <v>3</v>
      </c>
      <c r="E11" s="12">
        <f>SUM(E10:E10)</f>
        <v>0</v>
      </c>
      <c r="F11" s="13" t="s">
        <v>3</v>
      </c>
      <c r="G11" s="1"/>
    </row>
    <row r="12" spans="1:7" x14ac:dyDescent="0.35">
      <c r="A12" s="1"/>
      <c r="B12" s="33" t="s">
        <v>235</v>
      </c>
      <c r="C12" s="12">
        <f>C11*(1+'Fane 15. Nøgletal'!C16)^2</f>
        <v>222533.17843455999</v>
      </c>
      <c r="D12" s="13" t="s">
        <v>3</v>
      </c>
      <c r="E12" s="12">
        <f>E11*(1+'Fane 15. Nøgletal'!C16)^2</f>
        <v>0</v>
      </c>
      <c r="F12" s="13" t="s">
        <v>3</v>
      </c>
      <c r="G12" s="1"/>
    </row>
    <row r="13" spans="1:7" x14ac:dyDescent="0.35">
      <c r="A13" s="1"/>
      <c r="B13" s="1"/>
      <c r="C13" s="1"/>
      <c r="D13" s="1"/>
      <c r="E13" s="1"/>
      <c r="F13" s="1"/>
      <c r="G13" s="1"/>
    </row>
    <row r="14" spans="1:7" x14ac:dyDescent="0.35">
      <c r="A14" s="1"/>
      <c r="B14" s="150"/>
      <c r="C14" s="150"/>
      <c r="D14" s="150"/>
      <c r="E14" s="150"/>
      <c r="F14" s="150"/>
      <c r="G14" s="1"/>
    </row>
    <row r="15" spans="1:7" x14ac:dyDescent="0.35">
      <c r="A15" s="1"/>
      <c r="B15" s="51"/>
      <c r="C15" s="51"/>
      <c r="D15" s="51"/>
      <c r="E15" s="51"/>
      <c r="F15" s="52"/>
      <c r="G15" s="1"/>
    </row>
    <row r="16" spans="1:7" x14ac:dyDescent="0.35">
      <c r="A16" s="1"/>
      <c r="B16" s="53"/>
      <c r="C16" s="54"/>
      <c r="D16" s="55"/>
      <c r="E16" s="56"/>
      <c r="F16" s="55"/>
      <c r="G16" s="1"/>
    </row>
    <row r="17" spans="1:7" x14ac:dyDescent="0.35">
      <c r="A17" s="1"/>
      <c r="B17" s="53"/>
      <c r="C17" s="54"/>
      <c r="D17" s="55"/>
      <c r="E17" s="56"/>
      <c r="F17" s="55"/>
      <c r="G17" s="1"/>
    </row>
    <row r="18" spans="1:7" x14ac:dyDescent="0.35">
      <c r="A18" s="1"/>
      <c r="B18" s="57"/>
      <c r="C18" s="58"/>
      <c r="D18" s="59"/>
      <c r="E18" s="58"/>
      <c r="F18" s="59"/>
      <c r="G18" s="1"/>
    </row>
    <row r="19" spans="1:7" x14ac:dyDescent="0.35">
      <c r="A19" s="1"/>
      <c r="B19" s="57"/>
      <c r="C19" s="58"/>
      <c r="D19" s="59"/>
      <c r="E19" s="58"/>
      <c r="F19" s="59"/>
      <c r="G19" s="1"/>
    </row>
    <row r="20" spans="1:7" x14ac:dyDescent="0.35">
      <c r="A20" s="1"/>
      <c r="B20" s="50"/>
      <c r="C20" s="50"/>
      <c r="D20" s="50"/>
      <c r="E20" s="50"/>
      <c r="F20" s="50"/>
      <c r="G20" s="1"/>
    </row>
    <row r="21" spans="1:7" x14ac:dyDescent="0.35">
      <c r="A21" s="1"/>
      <c r="B21" s="150"/>
      <c r="C21" s="150"/>
      <c r="D21" s="150"/>
      <c r="E21" s="150"/>
      <c r="F21" s="150"/>
      <c r="G21" s="1"/>
    </row>
    <row r="22" spans="1:7" x14ac:dyDescent="0.35">
      <c r="A22" s="1"/>
      <c r="B22" s="51"/>
      <c r="C22" s="51"/>
      <c r="D22" s="51"/>
      <c r="E22" s="51"/>
      <c r="F22" s="52"/>
      <c r="G22" s="1"/>
    </row>
    <row r="23" spans="1:7" x14ac:dyDescent="0.35">
      <c r="A23" s="1"/>
      <c r="B23" s="53"/>
      <c r="C23" s="54"/>
      <c r="D23" s="55"/>
      <c r="E23" s="56"/>
      <c r="F23" s="55"/>
      <c r="G23" s="1"/>
    </row>
    <row r="24" spans="1:7" x14ac:dyDescent="0.35">
      <c r="A24" s="1"/>
      <c r="B24" s="53"/>
      <c r="C24" s="54"/>
      <c r="D24" s="55"/>
      <c r="E24" s="56"/>
      <c r="F24" s="55"/>
      <c r="G24" s="1"/>
    </row>
    <row r="25" spans="1:7" x14ac:dyDescent="0.35">
      <c r="A25" s="1"/>
      <c r="B25" s="57"/>
      <c r="C25" s="58"/>
      <c r="D25" s="59"/>
      <c r="E25" s="58"/>
      <c r="F25" s="59"/>
      <c r="G25" s="1"/>
    </row>
    <row r="26" spans="1:7" x14ac:dyDescent="0.35">
      <c r="A26" s="1"/>
      <c r="B26" s="57"/>
      <c r="C26" s="58"/>
      <c r="D26" s="59"/>
      <c r="E26" s="58"/>
      <c r="F26" s="59"/>
      <c r="G26" s="1"/>
    </row>
    <row r="27" spans="1:7" x14ac:dyDescent="0.35">
      <c r="A27" s="1"/>
      <c r="B27" s="50"/>
      <c r="C27" s="50"/>
      <c r="D27" s="50"/>
      <c r="E27" s="50"/>
      <c r="F27" s="50"/>
      <c r="G27" s="1"/>
    </row>
    <row r="28" spans="1:7" x14ac:dyDescent="0.35">
      <c r="A28" s="1"/>
      <c r="B28" s="150"/>
      <c r="C28" s="150"/>
      <c r="D28" s="150"/>
      <c r="E28" s="150"/>
      <c r="F28" s="150"/>
      <c r="G28" s="1"/>
    </row>
    <row r="29" spans="1:7" x14ac:dyDescent="0.35">
      <c r="A29" s="1"/>
      <c r="B29" s="51"/>
      <c r="C29" s="51"/>
      <c r="D29" s="51"/>
      <c r="E29" s="51"/>
      <c r="F29" s="52"/>
      <c r="G29" s="1"/>
    </row>
    <row r="30" spans="1:7" x14ac:dyDescent="0.35">
      <c r="A30" s="1"/>
      <c r="B30" s="53"/>
      <c r="C30" s="54"/>
      <c r="D30" s="55"/>
      <c r="E30" s="56"/>
      <c r="F30" s="55"/>
      <c r="G30" s="1"/>
    </row>
    <row r="31" spans="1:7" x14ac:dyDescent="0.35">
      <c r="A31" s="1"/>
      <c r="B31" s="53"/>
      <c r="C31" s="54"/>
      <c r="D31" s="55"/>
      <c r="E31" s="56"/>
      <c r="F31" s="55"/>
      <c r="G31" s="1"/>
    </row>
    <row r="32" spans="1:7" x14ac:dyDescent="0.35">
      <c r="A32" s="1"/>
      <c r="B32" s="57"/>
      <c r="C32" s="58"/>
      <c r="D32" s="59"/>
      <c r="E32" s="58"/>
      <c r="F32" s="59"/>
      <c r="G32" s="1"/>
    </row>
    <row r="33" spans="1:7" x14ac:dyDescent="0.35">
      <c r="A33" s="1"/>
      <c r="B33" s="57"/>
      <c r="C33" s="58"/>
      <c r="D33" s="59"/>
      <c r="E33" s="58"/>
      <c r="F33" s="59"/>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XakhkAwKbpID5cxQf1OaB+Y2MV9a5OS1bha7e7qe1IB7Bdi9F62EJDALT1HHr+gHCB6JobbnJOJ240rL6TyTpQ==" saltValue="EL6H/V/cuWXXh8rJ5YaAyw=="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14" t="s">
        <v>185</v>
      </c>
      <c r="C3" s="114"/>
      <c r="D3" s="114"/>
      <c r="E3" s="114"/>
      <c r="F3" s="114"/>
      <c r="G3" s="1"/>
    </row>
    <row r="4" spans="1:7" ht="15" customHeight="1" x14ac:dyDescent="0.35">
      <c r="A4" s="1"/>
      <c r="B4" s="114"/>
      <c r="C4" s="114"/>
      <c r="D4" s="114"/>
      <c r="E4" s="114"/>
      <c r="F4" s="114"/>
      <c r="G4" s="1"/>
    </row>
    <row r="5" spans="1:7" x14ac:dyDescent="0.35">
      <c r="A5" s="1"/>
      <c r="B5" s="114"/>
      <c r="C5" s="114"/>
      <c r="D5" s="114"/>
      <c r="E5" s="114"/>
      <c r="F5" s="114"/>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4.25" customHeight="1" x14ac:dyDescent="0.35">
      <c r="A9" s="1"/>
      <c r="B9" s="115" t="s">
        <v>110</v>
      </c>
      <c r="C9" s="116"/>
      <c r="D9" s="116"/>
      <c r="E9" s="116"/>
      <c r="F9" s="117"/>
      <c r="G9" s="1"/>
    </row>
    <row r="10" spans="1:7" x14ac:dyDescent="0.35">
      <c r="A10" s="1"/>
      <c r="B10" s="142" t="s">
        <v>236</v>
      </c>
      <c r="C10" s="143"/>
      <c r="D10" s="144"/>
      <c r="E10" s="9">
        <v>0</v>
      </c>
      <c r="F10" s="14" t="s">
        <v>3</v>
      </c>
      <c r="G10" s="1"/>
    </row>
    <row r="11" spans="1:7" x14ac:dyDescent="0.35">
      <c r="A11" s="1"/>
      <c r="B11" s="151" t="s">
        <v>10</v>
      </c>
      <c r="C11" s="152"/>
      <c r="D11" s="153"/>
      <c r="E11" s="9">
        <f>-E10*'Fane 5. Individuelt eff. krav'!G9</f>
        <v>0</v>
      </c>
      <c r="F11" s="14" t="s">
        <v>3</v>
      </c>
      <c r="G11" s="1"/>
    </row>
    <row r="12" spans="1:7" x14ac:dyDescent="0.35">
      <c r="A12" s="1"/>
      <c r="B12" s="151" t="s">
        <v>23</v>
      </c>
      <c r="C12" s="152"/>
      <c r="D12" s="153"/>
      <c r="E12" s="9">
        <f>-E10*'Fane 15. Nøgletal'!C33</f>
        <v>0</v>
      </c>
      <c r="F12" s="14" t="s">
        <v>3</v>
      </c>
      <c r="G12" s="1"/>
    </row>
    <row r="13" spans="1:7" x14ac:dyDescent="0.35">
      <c r="A13" s="1"/>
      <c r="B13" s="115" t="s">
        <v>111</v>
      </c>
      <c r="C13" s="116"/>
      <c r="D13" s="117"/>
      <c r="E13" s="12">
        <f>SUM(E10:E12)*(1+'Fane 15. Nøgletal'!C16)^2</f>
        <v>0</v>
      </c>
      <c r="F13" s="13" t="s">
        <v>3</v>
      </c>
      <c r="G13" s="1"/>
    </row>
    <row r="14" spans="1:7" x14ac:dyDescent="0.35">
      <c r="A14" s="1"/>
      <c r="B14" s="1"/>
      <c r="C14" s="1"/>
      <c r="D14" s="1"/>
      <c r="E14" s="1"/>
      <c r="F14" s="1"/>
      <c r="G14" s="1"/>
    </row>
    <row r="15" spans="1:7" ht="15" customHeight="1" x14ac:dyDescent="0.35">
      <c r="A15" s="1"/>
      <c r="B15" s="115" t="s">
        <v>124</v>
      </c>
      <c r="C15" s="116"/>
      <c r="D15" s="116"/>
      <c r="E15" s="116"/>
      <c r="F15" s="117"/>
      <c r="G15" s="1"/>
    </row>
    <row r="16" spans="1:7" x14ac:dyDescent="0.35">
      <c r="A16" s="1"/>
      <c r="B16" s="142" t="s">
        <v>236</v>
      </c>
      <c r="C16" s="143"/>
      <c r="D16" s="144"/>
      <c r="E16" s="9">
        <v>0</v>
      </c>
      <c r="F16" s="14" t="s">
        <v>3</v>
      </c>
      <c r="G16" s="1"/>
    </row>
    <row r="17" spans="1:7" x14ac:dyDescent="0.35">
      <c r="A17" s="1"/>
      <c r="B17" s="151" t="s">
        <v>10</v>
      </c>
      <c r="C17" s="152"/>
      <c r="D17" s="153"/>
      <c r="E17" s="9">
        <f>-E16*'Fane 5. Individuelt eff. krav'!G9</f>
        <v>0</v>
      </c>
      <c r="F17" s="14" t="s">
        <v>3</v>
      </c>
      <c r="G17" s="1"/>
    </row>
    <row r="18" spans="1:7" x14ac:dyDescent="0.35">
      <c r="A18" s="1"/>
      <c r="B18" s="151" t="s">
        <v>23</v>
      </c>
      <c r="C18" s="152"/>
      <c r="D18" s="153"/>
      <c r="E18" s="9">
        <f>-E16*'Fane 15. Nøgletal'!C33</f>
        <v>0</v>
      </c>
      <c r="F18" s="14" t="s">
        <v>3</v>
      </c>
      <c r="G18" s="1"/>
    </row>
    <row r="19" spans="1:7" x14ac:dyDescent="0.35">
      <c r="A19" s="1"/>
      <c r="B19" s="115" t="s">
        <v>125</v>
      </c>
      <c r="C19" s="116"/>
      <c r="D19" s="117"/>
      <c r="E19" s="12">
        <f>SUM(E16:E18)*(1+'Fane 15. Nøgletal'!C16)^3</f>
        <v>0</v>
      </c>
      <c r="F19" s="13" t="s">
        <v>3</v>
      </c>
      <c r="G19" s="1"/>
    </row>
    <row r="20" spans="1:7" x14ac:dyDescent="0.35">
      <c r="A20" s="1"/>
      <c r="B20" s="1"/>
      <c r="C20" s="1"/>
      <c r="D20" s="1"/>
      <c r="E20" s="1"/>
      <c r="F20" s="1"/>
      <c r="G20" s="1"/>
    </row>
    <row r="21" spans="1:7" ht="15" customHeight="1" x14ac:dyDescent="0.35">
      <c r="A21" s="1"/>
      <c r="B21" s="115" t="s">
        <v>145</v>
      </c>
      <c r="C21" s="116"/>
      <c r="D21" s="116"/>
      <c r="E21" s="116"/>
      <c r="F21" s="117"/>
      <c r="G21" s="1"/>
    </row>
    <row r="22" spans="1:7" x14ac:dyDescent="0.35">
      <c r="A22" s="1"/>
      <c r="B22" s="142" t="s">
        <v>236</v>
      </c>
      <c r="C22" s="143"/>
      <c r="D22" s="144"/>
      <c r="E22" s="9">
        <v>0</v>
      </c>
      <c r="F22" s="14" t="s">
        <v>3</v>
      </c>
      <c r="G22" s="1"/>
    </row>
    <row r="23" spans="1:7" x14ac:dyDescent="0.35">
      <c r="A23" s="1"/>
      <c r="B23" s="151" t="s">
        <v>10</v>
      </c>
      <c r="C23" s="152"/>
      <c r="D23" s="153"/>
      <c r="E23" s="9">
        <f>-E22*'Fane 5. Individuelt eff. krav'!G9</f>
        <v>0</v>
      </c>
      <c r="F23" s="14" t="s">
        <v>3</v>
      </c>
      <c r="G23" s="1"/>
    </row>
    <row r="24" spans="1:7" x14ac:dyDescent="0.35">
      <c r="A24" s="1"/>
      <c r="B24" s="151" t="s">
        <v>23</v>
      </c>
      <c r="C24" s="152"/>
      <c r="D24" s="153"/>
      <c r="E24" s="9">
        <f>-E22*'Fane 15. Nøgletal'!C33</f>
        <v>0</v>
      </c>
      <c r="F24" s="14" t="s">
        <v>3</v>
      </c>
      <c r="G24" s="1"/>
    </row>
    <row r="25" spans="1:7" x14ac:dyDescent="0.35">
      <c r="A25" s="1"/>
      <c r="B25" s="115" t="s">
        <v>146</v>
      </c>
      <c r="C25" s="116"/>
      <c r="D25" s="117"/>
      <c r="E25" s="12">
        <f>SUM(E22:E24)*(1+'Fane 15. Nøgletal'!C16)^4</f>
        <v>0</v>
      </c>
      <c r="F25" s="13" t="s">
        <v>3</v>
      </c>
      <c r="G25" s="1"/>
    </row>
    <row r="26" spans="1:7" x14ac:dyDescent="0.35">
      <c r="A26" s="1"/>
      <c r="B26" s="1"/>
      <c r="C26" s="1"/>
      <c r="D26" s="1"/>
      <c r="E26" s="1"/>
      <c r="F26" s="1"/>
      <c r="G26" s="1"/>
    </row>
    <row r="27" spans="1:7" ht="15" customHeight="1" x14ac:dyDescent="0.35">
      <c r="A27" s="1"/>
      <c r="B27" s="115" t="s">
        <v>237</v>
      </c>
      <c r="C27" s="116"/>
      <c r="D27" s="116"/>
      <c r="E27" s="116"/>
      <c r="F27" s="117"/>
      <c r="G27" s="1"/>
    </row>
    <row r="28" spans="1:7" ht="14.25" customHeight="1" x14ac:dyDescent="0.35">
      <c r="A28" s="1"/>
      <c r="B28" s="142" t="s">
        <v>236</v>
      </c>
      <c r="C28" s="143"/>
      <c r="D28" s="144"/>
      <c r="E28" s="9">
        <v>0</v>
      </c>
      <c r="F28" s="14" t="s">
        <v>3</v>
      </c>
      <c r="G28" s="1"/>
    </row>
    <row r="29" spans="1:7" x14ac:dyDescent="0.35">
      <c r="A29" s="1"/>
      <c r="B29" s="151" t="s">
        <v>10</v>
      </c>
      <c r="C29" s="152"/>
      <c r="D29" s="153"/>
      <c r="E29" s="9">
        <f>-E28*'Fane 5. Individuelt eff. krav'!G9</f>
        <v>0</v>
      </c>
      <c r="F29" s="14" t="s">
        <v>3</v>
      </c>
      <c r="G29" s="1"/>
    </row>
    <row r="30" spans="1:7" x14ac:dyDescent="0.35">
      <c r="A30" s="1"/>
      <c r="B30" s="151" t="s">
        <v>23</v>
      </c>
      <c r="C30" s="152"/>
      <c r="D30" s="153"/>
      <c r="E30" s="9">
        <f>-E28*'Fane 15. Nøgletal'!C33</f>
        <v>0</v>
      </c>
      <c r="F30" s="14" t="s">
        <v>3</v>
      </c>
      <c r="G30" s="1"/>
    </row>
    <row r="31" spans="1:7" x14ac:dyDescent="0.35">
      <c r="A31" s="1"/>
      <c r="B31" s="115" t="s">
        <v>238</v>
      </c>
      <c r="C31" s="116"/>
      <c r="D31" s="117"/>
      <c r="E31" s="12">
        <f>SUM(E28:E30)*(1+'Fane 15. Nøgletal'!C16)^5</f>
        <v>0</v>
      </c>
      <c r="F31" s="13" t="s">
        <v>3</v>
      </c>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V+2kbjnboXMuBxSI7ylZhUl6LY87cxWe/kEmQotyRHKj5hjpv98rTgXmNo5u8tvdXzkiExV+m4X204fNjlYmCA==" saltValue="0fHDZztH1E3EeuLW/wPaoA=="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8"/>
  <sheetViews>
    <sheetView showGridLines="0" view="pageLayout" zoomScaleNormal="100" workbookViewId="0"/>
  </sheetViews>
  <sheetFormatPr defaultColWidth="9.1796875" defaultRowHeight="14.5" x14ac:dyDescent="0.35"/>
  <cols>
    <col min="1" max="1" width="5.453125" style="2" customWidth="1"/>
    <col min="2" max="2" width="36.453125" style="2" customWidth="1"/>
    <col min="3" max="3" width="15.54296875" style="2" customWidth="1"/>
    <col min="4" max="4" width="3.26953125" style="2" customWidth="1"/>
    <col min="5" max="5" width="17.1796875" style="2" customWidth="1"/>
    <col min="6" max="6" width="3.26953125" style="2" customWidth="1"/>
    <col min="7" max="7" width="5.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14" t="s">
        <v>186</v>
      </c>
      <c r="C3" s="114"/>
      <c r="D3" s="114"/>
      <c r="E3" s="114"/>
      <c r="F3" s="114"/>
      <c r="G3" s="1"/>
    </row>
    <row r="4" spans="1:7" ht="25.5" customHeight="1" x14ac:dyDescent="0.35">
      <c r="A4" s="1"/>
      <c r="B4" s="114"/>
      <c r="C4" s="114"/>
      <c r="D4" s="114"/>
      <c r="E4" s="114"/>
      <c r="F4" s="114"/>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15" t="s">
        <v>112</v>
      </c>
      <c r="C8" s="116"/>
      <c r="D8" s="116"/>
      <c r="E8" s="116"/>
      <c r="F8" s="117"/>
      <c r="G8" s="1"/>
    </row>
    <row r="9" spans="1:7" ht="15" customHeight="1" x14ac:dyDescent="0.35">
      <c r="A9" s="1"/>
      <c r="B9" s="31" t="s">
        <v>113</v>
      </c>
      <c r="C9" s="31" t="s">
        <v>11</v>
      </c>
      <c r="D9" s="32"/>
      <c r="E9" s="31" t="s">
        <v>28</v>
      </c>
      <c r="F9" s="32"/>
      <c r="G9" s="1"/>
    </row>
    <row r="10" spans="1:7" ht="26.5" x14ac:dyDescent="0.35">
      <c r="A10" s="1"/>
      <c r="B10" s="71" t="s">
        <v>269</v>
      </c>
      <c r="C10" s="9">
        <v>0</v>
      </c>
      <c r="D10" s="14" t="s">
        <v>3</v>
      </c>
      <c r="E10" s="9">
        <v>0</v>
      </c>
      <c r="F10" s="14" t="s">
        <v>3</v>
      </c>
      <c r="G10" s="1"/>
    </row>
    <row r="11" spans="1:7" x14ac:dyDescent="0.35">
      <c r="A11" s="1"/>
      <c r="B11" s="24"/>
      <c r="C11" s="9"/>
      <c r="D11" s="14" t="s">
        <v>3</v>
      </c>
      <c r="E11" s="9"/>
      <c r="F11" s="14" t="s">
        <v>3</v>
      </c>
      <c r="G11" s="1"/>
    </row>
    <row r="12" spans="1:7" x14ac:dyDescent="0.35">
      <c r="A12" s="1"/>
      <c r="B12" s="24"/>
      <c r="C12" s="9"/>
      <c r="D12" s="14" t="s">
        <v>3</v>
      </c>
      <c r="E12" s="9"/>
      <c r="F12" s="14" t="s">
        <v>3</v>
      </c>
      <c r="G12" s="1"/>
    </row>
    <row r="13" spans="1:7" ht="28.5" customHeight="1" x14ac:dyDescent="0.35">
      <c r="A13" s="1"/>
      <c r="B13" s="20" t="s">
        <v>148</v>
      </c>
      <c r="C13" s="12">
        <f>SUM(C10:C12)</f>
        <v>0</v>
      </c>
      <c r="D13" s="13" t="s">
        <v>3</v>
      </c>
      <c r="E13" s="12">
        <f>SUM(E10:E12)</f>
        <v>0</v>
      </c>
      <c r="F13" s="13" t="s">
        <v>3</v>
      </c>
      <c r="G13" s="1"/>
    </row>
    <row r="14" spans="1:7" ht="27" customHeight="1" x14ac:dyDescent="0.35">
      <c r="A14" s="1"/>
      <c r="B14" s="20" t="s">
        <v>239</v>
      </c>
      <c r="C14" s="12">
        <f>C13*(1+'Fane 15. Nøgletal'!C16)</f>
        <v>0</v>
      </c>
      <c r="D14" s="13" t="s">
        <v>3</v>
      </c>
      <c r="E14" s="12">
        <f>E13*(1+'Fane 15. Nøgletal'!C16)</f>
        <v>0</v>
      </c>
      <c r="F14" s="13" t="s">
        <v>3</v>
      </c>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35W1M5xQGupuJcBcZE3+5MgzmwkrrPhnURszznTXEekg6TqPckbYJ0L23ZOhtPDP4NY2GaST0ZK8Gj+zcYz5Zw==" saltValue="Y6MesqCTXLNCgoAujDLTf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796875" defaultRowHeight="14.5" x14ac:dyDescent="0.35"/>
  <cols>
    <col min="1" max="1" width="5.1796875" style="2" customWidth="1"/>
    <col min="2" max="2" width="36.453125" style="2" customWidth="1"/>
    <col min="3" max="3" width="15.7265625" style="2" customWidth="1"/>
    <col min="4" max="4" width="3.26953125" style="2" customWidth="1"/>
    <col min="5" max="5" width="15.726562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14" t="s">
        <v>187</v>
      </c>
      <c r="C3" s="114"/>
      <c r="D3" s="114"/>
      <c r="E3" s="114"/>
      <c r="F3" s="114"/>
      <c r="G3" s="1"/>
    </row>
    <row r="4" spans="1:7" ht="25.5" customHeight="1" x14ac:dyDescent="0.35">
      <c r="A4" s="1"/>
      <c r="B4" s="114"/>
      <c r="C4" s="114"/>
      <c r="D4" s="114"/>
      <c r="E4" s="114"/>
      <c r="F4" s="114"/>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15" t="s">
        <v>240</v>
      </c>
      <c r="C9" s="116"/>
      <c r="D9" s="116"/>
      <c r="E9" s="116"/>
      <c r="F9" s="117"/>
      <c r="G9" s="1"/>
    </row>
    <row r="10" spans="1:7" ht="26.25" customHeight="1" x14ac:dyDescent="0.35">
      <c r="A10" s="1"/>
      <c r="B10" s="31" t="s">
        <v>18</v>
      </c>
      <c r="C10" s="145" t="s">
        <v>11</v>
      </c>
      <c r="D10" s="147"/>
      <c r="E10" s="145" t="s">
        <v>28</v>
      </c>
      <c r="F10" s="147"/>
      <c r="G10" s="1"/>
    </row>
    <row r="11" spans="1:7" x14ac:dyDescent="0.35">
      <c r="A11" s="1"/>
      <c r="B11" s="71" t="s">
        <v>270</v>
      </c>
      <c r="C11" s="9">
        <v>0</v>
      </c>
      <c r="D11" s="14" t="s">
        <v>3</v>
      </c>
      <c r="E11" s="9">
        <v>0</v>
      </c>
      <c r="F11" s="14" t="s">
        <v>3</v>
      </c>
      <c r="G11" s="1"/>
    </row>
    <row r="12" spans="1:7" x14ac:dyDescent="0.35">
      <c r="A12" s="1"/>
      <c r="B12" s="33" t="s">
        <v>77</v>
      </c>
      <c r="C12" s="12">
        <f>SUM(C11:C11)</f>
        <v>0</v>
      </c>
      <c r="D12" s="13" t="s">
        <v>3</v>
      </c>
      <c r="E12" s="12">
        <f>SUM(E11:E11)</f>
        <v>0</v>
      </c>
      <c r="F12" s="13" t="s">
        <v>3</v>
      </c>
      <c r="G12" s="1"/>
    </row>
    <row r="13" spans="1:7" x14ac:dyDescent="0.35">
      <c r="A13" s="1"/>
      <c r="B13" s="33" t="s">
        <v>241</v>
      </c>
      <c r="C13" s="12">
        <f>C12*(1+'Fane 15. Nøgletal'!C16)</f>
        <v>0</v>
      </c>
      <c r="D13" s="13" t="s">
        <v>3</v>
      </c>
      <c r="E13" s="12">
        <f>E12*(1+'Fane 15. Nøgletal'!C16)</f>
        <v>0</v>
      </c>
      <c r="F13" s="13" t="s">
        <v>3</v>
      </c>
      <c r="G13" s="1"/>
    </row>
    <row r="14" spans="1:7" x14ac:dyDescent="0.35">
      <c r="A14" s="1"/>
      <c r="B14" s="1"/>
      <c r="C14" s="1"/>
      <c r="D14" s="1"/>
      <c r="E14" s="1"/>
      <c r="F14" s="1"/>
      <c r="G14" s="1"/>
    </row>
    <row r="15" spans="1:7" x14ac:dyDescent="0.35">
      <c r="A15" s="1"/>
      <c r="B15" s="150"/>
      <c r="C15" s="150"/>
      <c r="D15" s="150"/>
      <c r="E15" s="150"/>
      <c r="F15" s="150"/>
      <c r="G15" s="1"/>
    </row>
    <row r="16" spans="1:7" x14ac:dyDescent="0.35">
      <c r="A16" s="1"/>
      <c r="B16" s="52"/>
      <c r="C16" s="52"/>
      <c r="D16" s="52"/>
      <c r="E16" s="52"/>
      <c r="F16" s="52"/>
      <c r="G16" s="1"/>
    </row>
    <row r="17" spans="1:7" x14ac:dyDescent="0.35">
      <c r="A17" s="1"/>
      <c r="B17" s="53"/>
      <c r="C17" s="56"/>
      <c r="D17" s="55"/>
      <c r="E17" s="56"/>
      <c r="F17" s="55"/>
      <c r="G17" s="1"/>
    </row>
    <row r="18" spans="1:7" x14ac:dyDescent="0.35">
      <c r="A18" s="1"/>
      <c r="B18" s="57"/>
      <c r="C18" s="58"/>
      <c r="D18" s="59"/>
      <c r="E18" s="58"/>
      <c r="F18" s="59"/>
      <c r="G18" s="1"/>
    </row>
    <row r="19" spans="1:7" x14ac:dyDescent="0.35">
      <c r="A19" s="1"/>
      <c r="B19" s="57"/>
      <c r="C19" s="58"/>
      <c r="D19" s="59"/>
      <c r="E19" s="58"/>
      <c r="F19" s="59"/>
      <c r="G19" s="1"/>
    </row>
    <row r="20" spans="1:7" x14ac:dyDescent="0.35">
      <c r="A20" s="1"/>
      <c r="B20" s="50"/>
      <c r="C20" s="50"/>
      <c r="D20" s="50"/>
      <c r="E20" s="50"/>
      <c r="F20" s="50"/>
      <c r="G20" s="1"/>
    </row>
    <row r="21" spans="1:7" x14ac:dyDescent="0.35">
      <c r="A21" s="1"/>
      <c r="B21" s="150"/>
      <c r="C21" s="150"/>
      <c r="D21" s="150"/>
      <c r="E21" s="150"/>
      <c r="F21" s="150"/>
      <c r="G21" s="1"/>
    </row>
    <row r="22" spans="1:7" x14ac:dyDescent="0.35">
      <c r="A22" s="1"/>
      <c r="B22" s="52"/>
      <c r="C22" s="52"/>
      <c r="D22" s="52"/>
      <c r="E22" s="52"/>
      <c r="F22" s="52"/>
      <c r="G22" s="1"/>
    </row>
    <row r="23" spans="1:7" x14ac:dyDescent="0.35">
      <c r="A23" s="1"/>
      <c r="B23" s="53"/>
      <c r="C23" s="56"/>
      <c r="D23" s="55"/>
      <c r="E23" s="56"/>
      <c r="F23" s="55"/>
      <c r="G23" s="1"/>
    </row>
    <row r="24" spans="1:7" x14ac:dyDescent="0.35">
      <c r="A24" s="1"/>
      <c r="B24" s="57"/>
      <c r="C24" s="58"/>
      <c r="D24" s="59"/>
      <c r="E24" s="58"/>
      <c r="F24" s="59"/>
      <c r="G24" s="1"/>
    </row>
    <row r="25" spans="1:7" x14ac:dyDescent="0.35">
      <c r="A25" s="1"/>
      <c r="B25" s="57"/>
      <c r="C25" s="58"/>
      <c r="D25" s="59"/>
      <c r="E25" s="58"/>
      <c r="F25" s="59"/>
      <c r="G25" s="1"/>
    </row>
    <row r="26" spans="1:7" x14ac:dyDescent="0.35">
      <c r="A26" s="1"/>
      <c r="B26" s="50"/>
      <c r="C26" s="50"/>
      <c r="D26" s="50"/>
      <c r="E26" s="50"/>
      <c r="F26" s="50"/>
      <c r="G26" s="1"/>
    </row>
    <row r="27" spans="1:7" x14ac:dyDescent="0.35">
      <c r="A27" s="1"/>
      <c r="B27" s="150"/>
      <c r="C27" s="150"/>
      <c r="D27" s="150"/>
      <c r="E27" s="150"/>
      <c r="F27" s="150"/>
      <c r="G27" s="1"/>
    </row>
    <row r="28" spans="1:7" x14ac:dyDescent="0.35">
      <c r="A28" s="1"/>
      <c r="B28" s="52"/>
      <c r="C28" s="52"/>
      <c r="D28" s="52"/>
      <c r="E28" s="52"/>
      <c r="F28" s="52"/>
      <c r="G28" s="1"/>
    </row>
    <row r="29" spans="1:7" x14ac:dyDescent="0.35">
      <c r="A29" s="1"/>
      <c r="B29" s="53"/>
      <c r="C29" s="56"/>
      <c r="D29" s="55"/>
      <c r="E29" s="56"/>
      <c r="F29" s="55"/>
      <c r="G29" s="1"/>
    </row>
    <row r="30" spans="1:7" x14ac:dyDescent="0.35">
      <c r="A30" s="1"/>
      <c r="B30" s="57"/>
      <c r="C30" s="58"/>
      <c r="D30" s="59"/>
      <c r="E30" s="58"/>
      <c r="F30" s="59"/>
      <c r="G30" s="1"/>
    </row>
    <row r="31" spans="1:7" x14ac:dyDescent="0.35">
      <c r="A31" s="1"/>
      <c r="B31" s="57"/>
      <c r="C31" s="58"/>
      <c r="D31" s="59"/>
      <c r="E31" s="58"/>
      <c r="F31" s="59"/>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UHDCSvwr9wv+NQ5frsuLxPpqWTTWLNWuhXoIcQazfT59C+eg3DihX+GOzJy1BNC7AI9IMAKf/1pJsU+bIOotHg==" saltValue="Hwy1MKyiGHOPs6t43Elhxg=="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796875" defaultRowHeight="14.5" x14ac:dyDescent="0.35"/>
  <cols>
    <col min="1" max="1" width="6.54296875" style="2" customWidth="1"/>
    <col min="2" max="2" width="52.26953125" style="2" customWidth="1"/>
    <col min="3" max="3" width="15.1796875" style="2" customWidth="1"/>
    <col min="4" max="4" width="4.1796875" style="2" customWidth="1"/>
    <col min="5" max="5" width="8.453125" style="2" bestFit="1" customWidth="1"/>
    <col min="6" max="16384" width="9.1796875" style="2"/>
  </cols>
  <sheetData>
    <row r="1" spans="1:5" x14ac:dyDescent="0.35">
      <c r="A1" s="1"/>
      <c r="B1" s="1"/>
      <c r="C1" s="1"/>
      <c r="D1" s="1"/>
      <c r="E1" s="1"/>
    </row>
    <row r="2" spans="1:5" x14ac:dyDescent="0.35">
      <c r="A2" s="1"/>
      <c r="B2" s="1"/>
      <c r="C2" s="1"/>
      <c r="D2" s="1"/>
      <c r="E2" s="1"/>
    </row>
    <row r="3" spans="1:5" ht="15" customHeight="1" x14ac:dyDescent="0.35">
      <c r="A3" s="1"/>
      <c r="B3" s="111" t="s">
        <v>201</v>
      </c>
      <c r="C3" s="111"/>
      <c r="D3" s="111"/>
      <c r="E3" s="1"/>
    </row>
    <row r="4" spans="1:5" ht="15" customHeight="1" x14ac:dyDescent="0.35">
      <c r="A4" s="1"/>
      <c r="B4" s="111"/>
      <c r="C4" s="111"/>
      <c r="D4" s="111"/>
      <c r="E4" s="1"/>
    </row>
    <row r="5" spans="1:5" x14ac:dyDescent="0.35">
      <c r="A5" s="1"/>
      <c r="B5" s="1"/>
      <c r="C5" s="1"/>
      <c r="D5" s="1"/>
      <c r="E5" s="1"/>
    </row>
    <row r="6" spans="1:5" x14ac:dyDescent="0.35">
      <c r="A6" s="1"/>
      <c r="B6" s="1"/>
      <c r="C6" s="1"/>
      <c r="D6" s="1"/>
      <c r="E6" s="1"/>
    </row>
    <row r="7" spans="1:5" x14ac:dyDescent="0.35">
      <c r="A7" s="1"/>
      <c r="B7" s="1"/>
      <c r="C7" s="1"/>
      <c r="D7" s="1"/>
      <c r="E7" s="1"/>
    </row>
    <row r="8" spans="1:5" x14ac:dyDescent="0.35">
      <c r="A8" s="1"/>
      <c r="B8" s="33" t="s">
        <v>13</v>
      </c>
      <c r="C8" s="28"/>
      <c r="D8" s="19"/>
      <c r="E8" s="1"/>
    </row>
    <row r="9" spans="1:5" x14ac:dyDescent="0.35">
      <c r="A9" s="1"/>
      <c r="B9" s="29" t="s">
        <v>107</v>
      </c>
      <c r="C9" s="7">
        <f>'Fane 3. Omkostninger i ØR2023'!C20</f>
        <v>51350093.439413853</v>
      </c>
      <c r="D9" s="8" t="s">
        <v>3</v>
      </c>
      <c r="E9" s="1"/>
    </row>
    <row r="10" spans="1:5" ht="17.25" customHeight="1" x14ac:dyDescent="0.35">
      <c r="A10" s="1"/>
      <c r="B10" s="89" t="s">
        <v>36</v>
      </c>
      <c r="C10" s="7">
        <f>'Fane 11.1. Varige tillæg'!C20</f>
        <v>337650.56640000001</v>
      </c>
      <c r="D10" s="8" t="s">
        <v>3</v>
      </c>
      <c r="E10" s="1"/>
    </row>
    <row r="11" spans="1:5" ht="17.25" customHeight="1" x14ac:dyDescent="0.35">
      <c r="A11" s="1"/>
      <c r="B11" s="89" t="s">
        <v>37</v>
      </c>
      <c r="C11" s="9">
        <f>'Fane 11.1. Varige tillæg'!E20</f>
        <v>2622777.36</v>
      </c>
      <c r="D11" s="8" t="s">
        <v>3</v>
      </c>
      <c r="E11" s="1"/>
    </row>
    <row r="12" spans="1:5" ht="17.25" customHeight="1" x14ac:dyDescent="0.35">
      <c r="A12" s="1"/>
      <c r="B12" s="89" t="s">
        <v>26</v>
      </c>
      <c r="C12" s="9">
        <f>-'Fane 14. Bortfald'!C13</f>
        <v>0</v>
      </c>
      <c r="D12" s="8" t="s">
        <v>3</v>
      </c>
      <c r="E12" s="1"/>
    </row>
    <row r="13" spans="1:5" ht="17.25" customHeight="1" x14ac:dyDescent="0.35">
      <c r="A13" s="1"/>
      <c r="B13" s="89" t="s">
        <v>25</v>
      </c>
      <c r="C13" s="9">
        <f>-'Fane 14. Bortfald'!E13</f>
        <v>0</v>
      </c>
      <c r="D13" s="8" t="s">
        <v>3</v>
      </c>
      <c r="E13" s="1"/>
    </row>
    <row r="14" spans="1:5" ht="17.25" customHeight="1" x14ac:dyDescent="0.35">
      <c r="A14" s="1"/>
      <c r="B14" s="89" t="s">
        <v>105</v>
      </c>
      <c r="C14" s="9">
        <f>'Fane 13. Tilknyttet virksomhed'!C14</f>
        <v>0</v>
      </c>
      <c r="D14" s="8" t="s">
        <v>3</v>
      </c>
      <c r="E14" s="1"/>
    </row>
    <row r="15" spans="1:5" ht="17.25" customHeight="1" x14ac:dyDescent="0.35">
      <c r="A15" s="1"/>
      <c r="B15" s="89" t="s">
        <v>106</v>
      </c>
      <c r="C15" s="9">
        <f>'Fane 13. Tilknyttet virksomhed'!E14</f>
        <v>0</v>
      </c>
      <c r="D15" s="8" t="s">
        <v>3</v>
      </c>
      <c r="E15" s="1"/>
    </row>
    <row r="16" spans="1:5" ht="17.25" customHeight="1" x14ac:dyDescent="0.35">
      <c r="A16" s="1"/>
      <c r="B16" s="89" t="s">
        <v>19</v>
      </c>
      <c r="C16" s="41">
        <f>SUM(C9)*'Fane 15. Nøgletal'!C16+SUM(C10:C15)*'Fane 15. Nøgletal'!C16</f>
        <v>4388290.1263577593</v>
      </c>
      <c r="D16" s="8" t="s">
        <v>3</v>
      </c>
      <c r="E16" s="1"/>
    </row>
    <row r="17" spans="1:5" ht="17.25" customHeight="1" x14ac:dyDescent="0.35">
      <c r="A17" s="1"/>
      <c r="B17" s="89" t="s">
        <v>10</v>
      </c>
      <c r="C17" s="41">
        <f>-SUM(C9,C10:C16)*'Fane 5. Individuelt eff. krav'!G9</f>
        <v>0</v>
      </c>
      <c r="D17" s="8" t="s">
        <v>3</v>
      </c>
      <c r="E17" s="1"/>
    </row>
    <row r="18" spans="1:5" ht="17.25" customHeight="1" x14ac:dyDescent="0.35">
      <c r="A18" s="1"/>
      <c r="B18" s="89" t="s">
        <v>23</v>
      </c>
      <c r="C18" s="41">
        <f>-'Fane 4.1. Gen. krav - drift'!G54</f>
        <v>-487921.00282177329</v>
      </c>
      <c r="D18" s="8" t="s">
        <v>3</v>
      </c>
      <c r="E18" s="1"/>
    </row>
    <row r="19" spans="1:5" ht="17.25" customHeight="1" x14ac:dyDescent="0.35">
      <c r="A19" s="1"/>
      <c r="B19" s="89" t="s">
        <v>24</v>
      </c>
      <c r="C19" s="41">
        <f>-'Fane 4.2. Gen. krav - anlæg'!G55</f>
        <v>0</v>
      </c>
      <c r="D19" s="8" t="s">
        <v>3</v>
      </c>
      <c r="E19" s="46"/>
    </row>
    <row r="20" spans="1:5" ht="17.25" customHeight="1" x14ac:dyDescent="0.35">
      <c r="A20" s="1"/>
      <c r="B20" s="83" t="s">
        <v>21</v>
      </c>
      <c r="C20" s="10">
        <f>SUM(C9:C19)</f>
        <v>58210890.489349835</v>
      </c>
      <c r="D20" s="11" t="s">
        <v>3</v>
      </c>
      <c r="E20" s="1"/>
    </row>
    <row r="21" spans="1:5" ht="15" customHeight="1" x14ac:dyDescent="0.35">
      <c r="A21" s="1"/>
      <c r="B21" s="33" t="s">
        <v>12</v>
      </c>
      <c r="C21" s="28"/>
      <c r="D21" s="19"/>
      <c r="E21" s="1"/>
    </row>
    <row r="22" spans="1:5" ht="15" customHeight="1" x14ac:dyDescent="0.35">
      <c r="A22" s="1"/>
      <c r="B22" s="31" t="s">
        <v>12</v>
      </c>
      <c r="C22" s="10">
        <f>'Fane 6. Ikke-påvirkelige omk.'!C21+'Fane 6. Ikke-påvirkelige omk.'!C25+'Fane 6. Ikke-påvirkelige omk.'!C33</f>
        <v>56278414.962329596</v>
      </c>
      <c r="D22" s="11" t="s">
        <v>3</v>
      </c>
      <c r="E22" s="1"/>
    </row>
    <row r="23" spans="1:5" ht="15" customHeight="1" x14ac:dyDescent="0.35">
      <c r="A23" s="1"/>
      <c r="B23" s="33" t="s">
        <v>74</v>
      </c>
      <c r="C23" s="28"/>
      <c r="D23" s="19"/>
      <c r="E23" s="1"/>
    </row>
    <row r="24" spans="1:5" ht="15" customHeight="1" x14ac:dyDescent="0.35">
      <c r="A24" s="1"/>
      <c r="B24" s="83" t="s">
        <v>74</v>
      </c>
      <c r="C24" s="10">
        <f>'Fane 12. Periodevise driftsomk.'!E13</f>
        <v>0</v>
      </c>
      <c r="D24" s="11" t="s">
        <v>3</v>
      </c>
      <c r="E24" s="1"/>
    </row>
    <row r="25" spans="1:5" ht="15" customHeight="1" x14ac:dyDescent="0.35">
      <c r="A25" s="1"/>
      <c r="B25" s="44" t="s">
        <v>73</v>
      </c>
      <c r="C25" s="42"/>
      <c r="D25" s="43"/>
      <c r="E25" s="1"/>
    </row>
    <row r="26" spans="1:5" ht="15" customHeight="1" x14ac:dyDescent="0.35">
      <c r="A26" s="1"/>
      <c r="B26" s="89" t="s">
        <v>158</v>
      </c>
      <c r="C26" s="65">
        <f>'Fane 11.2. Engangstillæg'!C12</f>
        <v>222533.17843455999</v>
      </c>
      <c r="D26" s="8" t="s">
        <v>3</v>
      </c>
      <c r="E26" s="1"/>
    </row>
    <row r="27" spans="1:5" ht="15" customHeight="1" x14ac:dyDescent="0.35">
      <c r="A27" s="1"/>
      <c r="B27" s="89" t="s">
        <v>70</v>
      </c>
      <c r="C27" s="73">
        <f>'Fane 11.2. Engangstillæg'!E12</f>
        <v>0</v>
      </c>
      <c r="D27" s="8" t="s">
        <v>3</v>
      </c>
      <c r="E27" s="1"/>
    </row>
    <row r="28" spans="1:5" ht="15" customHeight="1" x14ac:dyDescent="0.35">
      <c r="A28" s="1"/>
      <c r="B28" s="89" t="s">
        <v>161</v>
      </c>
      <c r="C28" s="65">
        <f>-C26*('Fane 15. Nøgletal'!C33+'Fane 5. Individuelt eff. krav'!G9)</f>
        <v>-4450.6635686911995</v>
      </c>
      <c r="D28" s="8" t="s">
        <v>3</v>
      </c>
      <c r="E28" s="1"/>
    </row>
    <row r="29" spans="1:5" ht="15" customHeight="1" x14ac:dyDescent="0.35">
      <c r="A29" s="1"/>
      <c r="B29" s="89" t="s">
        <v>162</v>
      </c>
      <c r="C29" s="73">
        <f>-C27*('Fane 15. Nøgletal'!C28+'Fane 5. Individuelt eff. krav'!G9)</f>
        <v>0</v>
      </c>
      <c r="D29" s="8" t="s">
        <v>3</v>
      </c>
      <c r="E29" s="1"/>
    </row>
    <row r="30" spans="1:5" ht="15" customHeight="1" x14ac:dyDescent="0.35">
      <c r="A30" s="1"/>
      <c r="B30" s="70" t="s">
        <v>75</v>
      </c>
      <c r="C30" s="10">
        <f>SUM(C26:C29)</f>
        <v>218082.51486586878</v>
      </c>
      <c r="D30" s="11" t="s">
        <v>3</v>
      </c>
      <c r="E30" s="1"/>
    </row>
    <row r="31" spans="1:5" x14ac:dyDescent="0.35">
      <c r="A31" s="1"/>
      <c r="B31" s="33" t="s">
        <v>116</v>
      </c>
      <c r="C31" s="28"/>
      <c r="D31" s="19"/>
      <c r="E31" s="1"/>
    </row>
    <row r="32" spans="1:5" x14ac:dyDescent="0.35">
      <c r="A32" s="1"/>
      <c r="B32" s="31" t="s">
        <v>138</v>
      </c>
      <c r="C32" s="10">
        <f>'Fane 7. Kontrol af ØR2022'!E31</f>
        <v>-9494917.5</v>
      </c>
      <c r="D32" s="11" t="s">
        <v>3</v>
      </c>
      <c r="E32" s="1"/>
    </row>
    <row r="33" spans="1:5" ht="15" customHeight="1" x14ac:dyDescent="0.35">
      <c r="A33" s="1"/>
      <c r="B33" s="33" t="s">
        <v>200</v>
      </c>
      <c r="C33" s="28"/>
      <c r="D33" s="19"/>
      <c r="E33" s="1"/>
    </row>
    <row r="34" spans="1:5" x14ac:dyDescent="0.35">
      <c r="A34" s="1"/>
      <c r="B34" s="31" t="s">
        <v>200</v>
      </c>
      <c r="C34" s="10">
        <f>'Fane 9. Korrektion af ØR2022'!E17</f>
        <v>-614804</v>
      </c>
      <c r="D34" s="11" t="s">
        <v>3</v>
      </c>
      <c r="E34" s="1"/>
    </row>
    <row r="35" spans="1:5" x14ac:dyDescent="0.35">
      <c r="A35" s="1"/>
      <c r="B35" s="30" t="s">
        <v>135</v>
      </c>
      <c r="C35" s="28"/>
      <c r="D35" s="19"/>
      <c r="E35" s="1"/>
    </row>
    <row r="36" spans="1:5" x14ac:dyDescent="0.35">
      <c r="A36" s="1"/>
      <c r="B36" s="70" t="s">
        <v>136</v>
      </c>
      <c r="C36" s="10">
        <f>'Fane 8. Skattesagen'!G13</f>
        <v>0</v>
      </c>
      <c r="D36" s="11" t="s">
        <v>3</v>
      </c>
      <c r="E36" s="1"/>
    </row>
    <row r="37" spans="1:5" x14ac:dyDescent="0.35">
      <c r="A37" s="1"/>
      <c r="B37" s="33" t="s">
        <v>108</v>
      </c>
      <c r="C37" s="48">
        <f>SUM(C34,C32,C24,C30,C22,C20,C36)</f>
        <v>104597666.4665453</v>
      </c>
      <c r="D37" s="30" t="s">
        <v>3</v>
      </c>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sheetData>
  <sheetProtection algorithmName="SHA-512" hashValue="Z0EpffcAxZ5Gt3DIcGZvpomuzr3foHLb9nqdVolMgQdNk1WksWGk7SruMcyu56s9w84SX/8V7nN96P8SkjGZ6g==" saltValue="K1XlQ8CrN3NZCbhL8CWW1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796875" defaultRowHeight="14.5" x14ac:dyDescent="0.35"/>
  <cols>
    <col min="1" max="1" width="11.1796875" style="2" customWidth="1"/>
    <col min="2" max="2" width="55.453125" style="2" customWidth="1"/>
    <col min="3" max="3" width="6.26953125" style="2" customWidth="1"/>
    <col min="4" max="4" width="12.26953125" style="2" customWidth="1"/>
    <col min="5" max="16384" width="9.1796875" style="2"/>
  </cols>
  <sheetData>
    <row r="1" spans="1:4" x14ac:dyDescent="0.35">
      <c r="A1" s="1"/>
      <c r="B1" s="1"/>
      <c r="C1" s="1"/>
      <c r="D1" s="1"/>
    </row>
    <row r="2" spans="1:4" x14ac:dyDescent="0.35">
      <c r="A2" s="1"/>
      <c r="B2" s="1"/>
      <c r="C2" s="1"/>
      <c r="D2" s="1"/>
    </row>
    <row r="3" spans="1:4" ht="15" customHeight="1" x14ac:dyDescent="0.35">
      <c r="A3" s="1"/>
      <c r="B3" s="114" t="s">
        <v>188</v>
      </c>
      <c r="C3" s="114"/>
      <c r="D3" s="1"/>
    </row>
    <row r="4" spans="1:4" ht="25.5" customHeight="1" x14ac:dyDescent="0.35">
      <c r="A4" s="1"/>
      <c r="B4" s="114"/>
      <c r="C4" s="114"/>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33" t="s">
        <v>14</v>
      </c>
      <c r="C8" s="19"/>
      <c r="D8" s="1"/>
    </row>
    <row r="9" spans="1:4" x14ac:dyDescent="0.35">
      <c r="A9" s="1"/>
      <c r="B9" s="82" t="s">
        <v>94</v>
      </c>
      <c r="C9" s="25">
        <v>1.2699999999999999E-2</v>
      </c>
      <c r="D9" s="1"/>
    </row>
    <row r="10" spans="1:4" x14ac:dyDescent="0.35">
      <c r="A10" s="1"/>
      <c r="B10" s="82" t="s">
        <v>95</v>
      </c>
      <c r="C10" s="25">
        <v>1.7500000000000002E-2</v>
      </c>
      <c r="D10" s="1"/>
    </row>
    <row r="11" spans="1:4" x14ac:dyDescent="0.35">
      <c r="A11" s="1"/>
      <c r="B11" s="82" t="s">
        <v>22</v>
      </c>
      <c r="C11" s="25">
        <v>1.6899999999999998E-2</v>
      </c>
      <c r="D11" s="1"/>
    </row>
    <row r="12" spans="1:4" x14ac:dyDescent="0.35">
      <c r="A12" s="1"/>
      <c r="B12" s="34" t="s">
        <v>134</v>
      </c>
      <c r="C12" s="35">
        <v>1.9699999999999999E-2</v>
      </c>
      <c r="D12" s="1"/>
    </row>
    <row r="13" spans="1:4" x14ac:dyDescent="0.35">
      <c r="A13" s="1"/>
      <c r="B13" s="34" t="s">
        <v>115</v>
      </c>
      <c r="C13" s="35">
        <v>1.2200000000000001E-2</v>
      </c>
      <c r="D13" s="1"/>
    </row>
    <row r="14" spans="1:4" x14ac:dyDescent="0.35">
      <c r="A14" s="1"/>
      <c r="B14" s="82" t="s">
        <v>133</v>
      </c>
      <c r="C14" s="39">
        <v>3.3E-3</v>
      </c>
      <c r="D14" s="1"/>
    </row>
    <row r="15" spans="1:4" x14ac:dyDescent="0.35">
      <c r="A15" s="1"/>
      <c r="B15" s="34" t="s">
        <v>152</v>
      </c>
      <c r="C15" s="35">
        <v>3.56E-2</v>
      </c>
      <c r="D15" s="1"/>
    </row>
    <row r="16" spans="1:4" x14ac:dyDescent="0.35">
      <c r="A16" s="1"/>
      <c r="B16" s="64" t="s">
        <v>190</v>
      </c>
      <c r="C16" s="68">
        <v>8.0799999999999997E-2</v>
      </c>
      <c r="D16" s="1"/>
    </row>
    <row r="17" spans="1:4" x14ac:dyDescent="0.35">
      <c r="A17" s="1"/>
      <c r="B17" s="33"/>
      <c r="C17" s="19"/>
      <c r="D17" s="1"/>
    </row>
    <row r="18" spans="1:4" x14ac:dyDescent="0.35">
      <c r="A18" s="1"/>
      <c r="B18" s="1"/>
      <c r="C18" s="1"/>
      <c r="D18" s="1"/>
    </row>
    <row r="19" spans="1:4" x14ac:dyDescent="0.35">
      <c r="A19" s="1"/>
      <c r="B19" s="1"/>
      <c r="C19" s="1"/>
      <c r="D19" s="1"/>
    </row>
    <row r="20" spans="1:4" x14ac:dyDescent="0.35">
      <c r="A20" s="1"/>
      <c r="B20" s="33" t="s">
        <v>85</v>
      </c>
      <c r="C20" s="19"/>
      <c r="D20" s="1"/>
    </row>
    <row r="21" spans="1:4" x14ac:dyDescent="0.35">
      <c r="A21" s="1"/>
      <c r="B21" s="82" t="s">
        <v>96</v>
      </c>
      <c r="C21" s="22">
        <v>9.1000000000000004E-3</v>
      </c>
      <c r="D21" s="1"/>
    </row>
    <row r="22" spans="1:4" x14ac:dyDescent="0.35">
      <c r="A22" s="1"/>
      <c r="B22" s="82" t="s">
        <v>118</v>
      </c>
      <c r="C22" s="22">
        <v>1.77E-2</v>
      </c>
      <c r="D22" s="1"/>
    </row>
    <row r="23" spans="1:4" x14ac:dyDescent="0.35">
      <c r="A23" s="1"/>
      <c r="B23" s="82" t="s">
        <v>119</v>
      </c>
      <c r="C23" s="22">
        <v>8.6999999999999994E-3</v>
      </c>
      <c r="D23" s="1"/>
    </row>
    <row r="24" spans="1:4" x14ac:dyDescent="0.35">
      <c r="A24" s="1"/>
      <c r="B24" s="82" t="s">
        <v>97</v>
      </c>
      <c r="C24" s="36">
        <v>2.8400000000000002E-2</v>
      </c>
      <c r="D24" s="1"/>
    </row>
    <row r="25" spans="1:4" x14ac:dyDescent="0.35">
      <c r="A25" s="1"/>
      <c r="B25" s="82" t="s">
        <v>120</v>
      </c>
      <c r="C25" s="36">
        <v>2.75E-2</v>
      </c>
      <c r="D25" s="1"/>
    </row>
    <row r="26" spans="1:4" x14ac:dyDescent="0.35">
      <c r="A26" s="1"/>
      <c r="B26" s="82" t="s">
        <v>121</v>
      </c>
      <c r="C26" s="36">
        <v>1.4800000000000001E-2</v>
      </c>
      <c r="D26" s="1"/>
    </row>
    <row r="27" spans="1:4" x14ac:dyDescent="0.35">
      <c r="A27" s="1"/>
      <c r="B27" s="34" t="s">
        <v>147</v>
      </c>
      <c r="C27" s="63">
        <v>0</v>
      </c>
      <c r="D27" s="1"/>
    </row>
    <row r="28" spans="1:4" x14ac:dyDescent="0.35">
      <c r="A28" s="1"/>
      <c r="B28" s="64" t="s">
        <v>191</v>
      </c>
      <c r="C28" s="67">
        <v>0</v>
      </c>
      <c r="D28" s="1"/>
    </row>
    <row r="29" spans="1:4" x14ac:dyDescent="0.35">
      <c r="A29" s="1"/>
      <c r="B29" s="33"/>
      <c r="C29" s="19"/>
      <c r="D29" s="1"/>
    </row>
    <row r="30" spans="1:4" x14ac:dyDescent="0.35">
      <c r="A30" s="1"/>
      <c r="B30" s="1"/>
      <c r="C30" s="1"/>
      <c r="D30" s="1"/>
    </row>
    <row r="31" spans="1:4" x14ac:dyDescent="0.35">
      <c r="A31" s="1"/>
      <c r="B31" s="1"/>
      <c r="C31" s="1"/>
      <c r="D31" s="1"/>
    </row>
    <row r="32" spans="1:4" x14ac:dyDescent="0.35">
      <c r="A32" s="1"/>
      <c r="B32" s="33" t="s">
        <v>86</v>
      </c>
      <c r="C32" s="19"/>
      <c r="D32" s="1"/>
    </row>
    <row r="33" spans="1:4" x14ac:dyDescent="0.35">
      <c r="A33" s="1"/>
      <c r="B33" s="82" t="s">
        <v>98</v>
      </c>
      <c r="C33" s="25">
        <v>0.02</v>
      </c>
      <c r="D33" s="1"/>
    </row>
    <row r="34" spans="1:4" x14ac:dyDescent="0.35">
      <c r="A34" s="1"/>
      <c r="B34" s="33"/>
      <c r="C34" s="19"/>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47"/>
      <c r="B50" s="47"/>
      <c r="C50" s="47"/>
      <c r="D50" s="47"/>
    </row>
    <row r="51" spans="1:4" x14ac:dyDescent="0.35">
      <c r="A51" s="47"/>
      <c r="B51" s="47"/>
      <c r="C51" s="47"/>
      <c r="D51" s="47"/>
    </row>
    <row r="52" spans="1:4" x14ac:dyDescent="0.35">
      <c r="A52" s="47"/>
      <c r="B52" s="47"/>
      <c r="C52" s="47"/>
      <c r="D52" s="47"/>
    </row>
    <row r="53" spans="1:4" x14ac:dyDescent="0.35">
      <c r="A53" s="47"/>
      <c r="B53" s="47"/>
      <c r="C53" s="47"/>
      <c r="D53" s="47"/>
    </row>
  </sheetData>
  <sheetProtection algorithmName="SHA-512" hashValue="p+UP0Q/rHT39pB5TLQ5yU4egcWs1OINB476onTZ289rpATwjfIzK3NZ6r5y3prnqJvHWhSxgltUqJR7PU6FGgw==" saltValue="+ZosDQA/FOGf7FvGTy1UE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796875" defaultRowHeight="14.5" x14ac:dyDescent="0.35"/>
  <cols>
    <col min="1" max="1" width="5.1796875" style="2" customWidth="1"/>
    <col min="2" max="2" width="49.453125" style="2" customWidth="1"/>
    <col min="3" max="3" width="15.7265625" style="2" customWidth="1"/>
    <col min="4" max="4" width="3.26953125" style="2" customWidth="1"/>
    <col min="5" max="5" width="10" style="2" customWidth="1"/>
    <col min="6" max="16384" width="9.1796875" style="2"/>
  </cols>
  <sheetData>
    <row r="1" spans="1:5" x14ac:dyDescent="0.35">
      <c r="A1" s="1"/>
      <c r="B1" s="1"/>
      <c r="C1" s="1"/>
      <c r="D1" s="1"/>
      <c r="E1" s="1"/>
    </row>
    <row r="2" spans="1:5" x14ac:dyDescent="0.35">
      <c r="A2" s="1"/>
      <c r="B2" s="1"/>
      <c r="C2" s="1"/>
      <c r="D2" s="1"/>
      <c r="E2" s="1"/>
    </row>
    <row r="3" spans="1:5" ht="15" customHeight="1" x14ac:dyDescent="0.35">
      <c r="A3" s="1"/>
      <c r="B3" s="111" t="s">
        <v>202</v>
      </c>
      <c r="C3" s="111"/>
      <c r="D3" s="111"/>
      <c r="E3" s="1"/>
    </row>
    <row r="4" spans="1:5" ht="15" customHeight="1" x14ac:dyDescent="0.35">
      <c r="A4" s="1"/>
      <c r="B4" s="111"/>
      <c r="C4" s="111"/>
      <c r="D4" s="111"/>
      <c r="E4" s="1"/>
    </row>
    <row r="5" spans="1:5" x14ac:dyDescent="0.35">
      <c r="A5" s="1"/>
      <c r="B5" s="112"/>
      <c r="C5" s="112"/>
      <c r="D5" s="112"/>
      <c r="E5" s="1"/>
    </row>
    <row r="6" spans="1:5" x14ac:dyDescent="0.35">
      <c r="A6" s="1"/>
      <c r="B6" s="1"/>
      <c r="C6" s="1"/>
      <c r="D6" s="1"/>
      <c r="E6" s="1"/>
    </row>
    <row r="7" spans="1:5" x14ac:dyDescent="0.35">
      <c r="A7" s="1"/>
      <c r="B7" s="1"/>
      <c r="C7" s="1"/>
      <c r="D7" s="1"/>
      <c r="E7" s="1"/>
    </row>
    <row r="8" spans="1:5" x14ac:dyDescent="0.35">
      <c r="A8" s="1"/>
      <c r="B8" s="33" t="s">
        <v>13</v>
      </c>
      <c r="C8" s="28"/>
      <c r="D8" s="19"/>
      <c r="E8" s="1"/>
    </row>
    <row r="9" spans="1:5" ht="15" customHeight="1" x14ac:dyDescent="0.35">
      <c r="A9" s="1"/>
      <c r="B9" s="29" t="s">
        <v>159</v>
      </c>
      <c r="C9" s="7">
        <f>'Fane 2.1. Økonomisk ramme 2024'!C20</f>
        <v>58210890.489349835</v>
      </c>
      <c r="D9" s="8" t="s">
        <v>3</v>
      </c>
      <c r="E9" s="1"/>
    </row>
    <row r="10" spans="1:5" ht="15" customHeight="1" x14ac:dyDescent="0.35">
      <c r="A10" s="1"/>
      <c r="B10" s="26" t="s">
        <v>19</v>
      </c>
      <c r="C10" s="7">
        <f>SUM(C9:C9)*'Fane 15. Nøgletal'!C16</f>
        <v>4703439.9515394662</v>
      </c>
      <c r="D10" s="8" t="s">
        <v>3</v>
      </c>
      <c r="E10" s="1"/>
    </row>
    <row r="11" spans="1:5" ht="15" customHeight="1" x14ac:dyDescent="0.35">
      <c r="A11" s="1"/>
      <c r="B11" s="26" t="s">
        <v>10</v>
      </c>
      <c r="C11" s="9">
        <f>-SUM(C9:C10)*'Fane 5. Individuelt eff. krav'!G9</f>
        <v>0</v>
      </c>
      <c r="D11" s="8" t="s">
        <v>3</v>
      </c>
      <c r="E11" s="1"/>
    </row>
    <row r="12" spans="1:5" ht="15" customHeight="1" x14ac:dyDescent="0.35">
      <c r="A12" s="1"/>
      <c r="B12" s="26" t="s">
        <v>23</v>
      </c>
      <c r="C12" s="9">
        <f>-'Fane 4.1. Gen. krav - drift'!G59</f>
        <v>-516798.11945277714</v>
      </c>
      <c r="D12" s="8" t="s">
        <v>3</v>
      </c>
      <c r="E12" s="1"/>
    </row>
    <row r="13" spans="1:5" ht="15" customHeight="1" x14ac:dyDescent="0.35">
      <c r="A13" s="1"/>
      <c r="B13" s="26" t="s">
        <v>24</v>
      </c>
      <c r="C13" s="9">
        <f>-'Fane 4.2. Gen. krav - anlæg'!G60</f>
        <v>0</v>
      </c>
      <c r="D13" s="8" t="s">
        <v>3</v>
      </c>
      <c r="E13" s="1"/>
    </row>
    <row r="14" spans="1:5" ht="15" customHeight="1" x14ac:dyDescent="0.35">
      <c r="A14" s="1"/>
      <c r="B14" s="27" t="s">
        <v>21</v>
      </c>
      <c r="C14" s="10">
        <f>SUM(C9:C13)</f>
        <v>62397532.321436524</v>
      </c>
      <c r="D14" s="11" t="s">
        <v>3</v>
      </c>
      <c r="E14" s="1"/>
    </row>
    <row r="15" spans="1:5" x14ac:dyDescent="0.35">
      <c r="A15" s="1"/>
      <c r="B15" s="33" t="s">
        <v>12</v>
      </c>
      <c r="C15" s="28"/>
      <c r="D15" s="19"/>
      <c r="E15" s="1"/>
    </row>
    <row r="16" spans="1:5" ht="15" customHeight="1" x14ac:dyDescent="0.35">
      <c r="A16" s="1"/>
      <c r="B16" s="31" t="s">
        <v>12</v>
      </c>
      <c r="C16" s="10">
        <f>'Fane 6. Ikke-påvirkelige omk.'!C21*(1+'Fane 15. Nøgletal'!C16)+'Fane 6. Ikke-påvirkelige omk.'!C26+'Fane 6. Ikke-påvirkelige omk.'!C34</f>
        <v>59923790.316885829</v>
      </c>
      <c r="D16" s="11" t="s">
        <v>3</v>
      </c>
      <c r="E16" s="1"/>
    </row>
    <row r="17" spans="1:5" ht="15" customHeight="1" x14ac:dyDescent="0.35">
      <c r="A17" s="1"/>
      <c r="B17" s="33" t="s">
        <v>74</v>
      </c>
      <c r="C17" s="28"/>
      <c r="D17" s="19"/>
      <c r="E17" s="1"/>
    </row>
    <row r="18" spans="1:5" ht="15" customHeight="1" x14ac:dyDescent="0.35">
      <c r="A18" s="1"/>
      <c r="B18" s="83" t="s">
        <v>74</v>
      </c>
      <c r="C18" s="10">
        <f>'Fane 12. Periodevise driftsomk.'!E19</f>
        <v>0</v>
      </c>
      <c r="D18" s="11" t="s">
        <v>3</v>
      </c>
      <c r="E18" s="1"/>
    </row>
    <row r="19" spans="1:5" x14ac:dyDescent="0.35">
      <c r="A19" s="1"/>
      <c r="B19" s="33" t="s">
        <v>116</v>
      </c>
      <c r="C19" s="28"/>
      <c r="D19" s="19"/>
      <c r="E19" s="1"/>
    </row>
    <row r="20" spans="1:5" ht="15" customHeight="1" x14ac:dyDescent="0.35">
      <c r="A20" s="1"/>
      <c r="B20" s="31" t="s">
        <v>138</v>
      </c>
      <c r="C20" s="10">
        <f>'Fane 7. Kontrol af ØR2022'!E31</f>
        <v>-9494917.5</v>
      </c>
      <c r="D20" s="11" t="s">
        <v>3</v>
      </c>
      <c r="E20" s="1"/>
    </row>
    <row r="21" spans="1:5" x14ac:dyDescent="0.35">
      <c r="A21" s="1"/>
      <c r="B21" s="30" t="s">
        <v>135</v>
      </c>
      <c r="C21" s="28"/>
      <c r="D21" s="19"/>
      <c r="E21" s="1"/>
    </row>
    <row r="22" spans="1:5" x14ac:dyDescent="0.35">
      <c r="A22" s="1"/>
      <c r="B22" s="70" t="s">
        <v>136</v>
      </c>
      <c r="C22" s="10">
        <f>'Fane 8. Skattesagen'!G14</f>
        <v>0</v>
      </c>
      <c r="D22" s="11" t="s">
        <v>3</v>
      </c>
      <c r="E22" s="1"/>
    </row>
    <row r="23" spans="1:5" x14ac:dyDescent="0.35">
      <c r="A23" s="1"/>
      <c r="B23" s="33" t="s">
        <v>122</v>
      </c>
      <c r="C23" s="12">
        <f>SUM(C14,C16,C18,C20,C22)</f>
        <v>112826405.13832235</v>
      </c>
      <c r="D23" s="13" t="s">
        <v>3</v>
      </c>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x14ac:dyDescent="0.35">
      <c r="A50" s="1"/>
      <c r="B50" s="1"/>
      <c r="C50" s="1"/>
      <c r="D50" s="1"/>
      <c r="E50" s="1"/>
    </row>
  </sheetData>
  <sheetProtection algorithmName="SHA-512" hashValue="MxM+WGGt+xrQHO1+6eYYiIBcRQk64ACkrW8d1YX+uGZizLEo3XJLe0FcdGNiD8GcFJ9Ks5/il4lsBOZc8A+U9A==" saltValue="Jec+7jO/pVa4lvXGAvnT1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796875" defaultRowHeight="14.5" x14ac:dyDescent="0.35"/>
  <cols>
    <col min="1" max="1" width="5.1796875" style="2" customWidth="1"/>
    <col min="2" max="2" width="50.54296875" style="2" customWidth="1"/>
    <col min="3" max="3" width="16.26953125" style="2" customWidth="1"/>
    <col min="4" max="4" width="3.26953125" style="2" customWidth="1"/>
    <col min="5" max="5" width="5.1796875" style="2" customWidth="1"/>
    <col min="6" max="16384" width="9.1796875" style="2"/>
  </cols>
  <sheetData>
    <row r="1" spans="1:5" x14ac:dyDescent="0.35">
      <c r="A1" s="1"/>
      <c r="B1" s="1"/>
      <c r="C1" s="1"/>
      <c r="D1" s="1"/>
      <c r="E1" s="1"/>
    </row>
    <row r="2" spans="1:5" x14ac:dyDescent="0.35">
      <c r="A2" s="1"/>
      <c r="B2" s="1"/>
      <c r="C2" s="1"/>
      <c r="D2" s="1"/>
      <c r="E2" s="1"/>
    </row>
    <row r="3" spans="1:5" ht="15" customHeight="1" x14ac:dyDescent="0.35">
      <c r="A3" s="1"/>
      <c r="B3" s="111" t="s">
        <v>203</v>
      </c>
      <c r="C3" s="111"/>
      <c r="D3" s="111"/>
      <c r="E3" s="1"/>
    </row>
    <row r="4" spans="1:5" ht="15" customHeight="1" x14ac:dyDescent="0.35">
      <c r="A4" s="1"/>
      <c r="B4" s="111"/>
      <c r="C4" s="111"/>
      <c r="D4" s="111"/>
      <c r="E4" s="1"/>
    </row>
    <row r="5" spans="1:5" x14ac:dyDescent="0.35">
      <c r="A5" s="1"/>
      <c r="B5" s="112" t="s">
        <v>253</v>
      </c>
      <c r="C5" s="112"/>
      <c r="D5" s="112"/>
      <c r="E5" s="1"/>
    </row>
    <row r="6" spans="1:5" x14ac:dyDescent="0.35">
      <c r="A6" s="1"/>
      <c r="B6" s="74"/>
      <c r="C6" s="74"/>
      <c r="D6" s="74"/>
      <c r="E6" s="1"/>
    </row>
    <row r="7" spans="1:5" x14ac:dyDescent="0.35">
      <c r="A7" s="1"/>
      <c r="B7" s="1"/>
      <c r="C7" s="1"/>
      <c r="D7" s="1"/>
      <c r="E7" s="1"/>
    </row>
    <row r="8" spans="1:5" x14ac:dyDescent="0.35">
      <c r="A8" s="1"/>
      <c r="B8" s="33" t="s">
        <v>13</v>
      </c>
      <c r="C8" s="28"/>
      <c r="D8" s="19"/>
      <c r="E8" s="1"/>
    </row>
    <row r="9" spans="1:5" ht="15" customHeight="1" x14ac:dyDescent="0.35">
      <c r="A9" s="1"/>
      <c r="B9" s="29" t="s">
        <v>139</v>
      </c>
      <c r="C9" s="7">
        <f>'Fane 2.2. Økonomisk ramme 2025'!C14</f>
        <v>62397532.321436524</v>
      </c>
      <c r="D9" s="8" t="s">
        <v>3</v>
      </c>
      <c r="E9" s="1"/>
    </row>
    <row r="10" spans="1:5" ht="15" customHeight="1" x14ac:dyDescent="0.35">
      <c r="A10" s="1"/>
      <c r="B10" s="26" t="s">
        <v>19</v>
      </c>
      <c r="C10" s="7">
        <f>SUM(C9:C9)*'Fane 15. Nøgletal'!C16</f>
        <v>5041720.611572071</v>
      </c>
      <c r="D10" s="8" t="s">
        <v>3</v>
      </c>
      <c r="E10" s="1"/>
    </row>
    <row r="11" spans="1:5" ht="15" customHeight="1" x14ac:dyDescent="0.35">
      <c r="A11" s="1"/>
      <c r="B11" s="26" t="s">
        <v>10</v>
      </c>
      <c r="C11" s="9">
        <f>-SUM(C9:C10)*'Fane 5. Individuelt eff. krav'!G9</f>
        <v>0</v>
      </c>
      <c r="D11" s="8" t="s">
        <v>3</v>
      </c>
      <c r="E11" s="1"/>
    </row>
    <row r="12" spans="1:5" ht="15" customHeight="1" x14ac:dyDescent="0.35">
      <c r="A12" s="1"/>
      <c r="B12" s="26" t="s">
        <v>23</v>
      </c>
      <c r="C12" s="9">
        <f>-'Fane 4.1. Gen. krav - drift'!G64</f>
        <v>-547384.29935447033</v>
      </c>
      <c r="D12" s="8" t="s">
        <v>3</v>
      </c>
      <c r="E12" s="1"/>
    </row>
    <row r="13" spans="1:5" ht="15" customHeight="1" x14ac:dyDescent="0.35">
      <c r="A13" s="1"/>
      <c r="B13" s="26" t="s">
        <v>24</v>
      </c>
      <c r="C13" s="9">
        <f>-'Fane 4.2. Gen. krav - anlæg'!G65</f>
        <v>0</v>
      </c>
      <c r="D13" s="8" t="s">
        <v>3</v>
      </c>
      <c r="E13" s="1"/>
    </row>
    <row r="14" spans="1:5" x14ac:dyDescent="0.35">
      <c r="A14" s="1"/>
      <c r="B14" s="27" t="s">
        <v>21</v>
      </c>
      <c r="C14" s="10">
        <f>SUM(C9:C13)</f>
        <v>66891868.633654125</v>
      </c>
      <c r="D14" s="11" t="s">
        <v>3</v>
      </c>
      <c r="E14" s="1"/>
    </row>
    <row r="15" spans="1:5" x14ac:dyDescent="0.35">
      <c r="A15" s="1"/>
      <c r="B15" s="33" t="s">
        <v>12</v>
      </c>
      <c r="C15" s="28"/>
      <c r="D15" s="19"/>
      <c r="E15" s="1"/>
    </row>
    <row r="16" spans="1:5" ht="15" customHeight="1" x14ac:dyDescent="0.35">
      <c r="A16" s="1"/>
      <c r="B16" s="31" t="s">
        <v>12</v>
      </c>
      <c r="C16" s="10">
        <f>'Fane 6. Ikke-påvirkelige omk.'!C21*(1+'Fane 15. Nøgletal'!C16)^2+'Fane 6. Ikke-påvirkelige omk.'!C27+'Fane 6. Ikke-påvirkelige omk.'!C35</f>
        <v>60051990.508090198</v>
      </c>
      <c r="D16" s="11" t="s">
        <v>3</v>
      </c>
      <c r="E16" s="1"/>
    </row>
    <row r="17" spans="1:5" ht="15" customHeight="1" x14ac:dyDescent="0.35">
      <c r="A17" s="1"/>
      <c r="B17" s="33" t="s">
        <v>74</v>
      </c>
      <c r="C17" s="28"/>
      <c r="D17" s="19"/>
      <c r="E17" s="1"/>
    </row>
    <row r="18" spans="1:5" ht="15" customHeight="1" x14ac:dyDescent="0.35">
      <c r="A18" s="1"/>
      <c r="B18" s="83" t="s">
        <v>74</v>
      </c>
      <c r="C18" s="10">
        <f>'Fane 12. Periodevise driftsomk.'!E25</f>
        <v>0</v>
      </c>
      <c r="D18" s="11" t="s">
        <v>3</v>
      </c>
      <c r="E18" s="1"/>
    </row>
    <row r="19" spans="1:5" ht="15" customHeight="1" x14ac:dyDescent="0.35">
      <c r="A19" s="1"/>
      <c r="B19" s="33" t="s">
        <v>116</v>
      </c>
      <c r="C19" s="28"/>
      <c r="D19" s="19"/>
      <c r="E19" s="1"/>
    </row>
    <row r="20" spans="1:5" ht="15" customHeight="1" x14ac:dyDescent="0.35">
      <c r="A20" s="1"/>
      <c r="B20" s="31" t="s">
        <v>138</v>
      </c>
      <c r="C20" s="10">
        <v>0</v>
      </c>
      <c r="D20" s="11" t="s">
        <v>3</v>
      </c>
      <c r="E20" s="1"/>
    </row>
    <row r="21" spans="1:5" x14ac:dyDescent="0.35">
      <c r="A21" s="1"/>
      <c r="B21" s="30" t="s">
        <v>135</v>
      </c>
      <c r="C21" s="28"/>
      <c r="D21" s="19"/>
      <c r="E21" s="1"/>
    </row>
    <row r="22" spans="1:5" x14ac:dyDescent="0.35">
      <c r="A22" s="1"/>
      <c r="B22" s="70" t="s">
        <v>136</v>
      </c>
      <c r="C22" s="10">
        <f>'Fane 8. Skattesagen'!G15</f>
        <v>0</v>
      </c>
      <c r="D22" s="11" t="s">
        <v>3</v>
      </c>
      <c r="E22" s="1"/>
    </row>
    <row r="23" spans="1:5" x14ac:dyDescent="0.35">
      <c r="A23" s="1"/>
      <c r="B23" s="33" t="s">
        <v>140</v>
      </c>
      <c r="C23" s="12">
        <f>SUM(C14,C16,C18,C20,C22)</f>
        <v>126943859.14174432</v>
      </c>
      <c r="D23" s="13" t="s">
        <v>3</v>
      </c>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x14ac:dyDescent="0.35">
      <c r="A50" s="1"/>
      <c r="B50" s="1"/>
      <c r="C50" s="1"/>
      <c r="D50" s="1"/>
      <c r="E50" s="1"/>
    </row>
  </sheetData>
  <sheetProtection algorithmName="SHA-512" hashValue="pgCnuBuVbP2o9RQG0RhR62haHBHNske5gGHJMNXi84dBEGaQt9nmH+1fHhEa1rj4XY+SGQm3PZv70tuDHYDjCQ==" saltValue="3zoLhkzsSAztc8oOhBR3X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796875" defaultRowHeight="14.5" x14ac:dyDescent="0.35"/>
  <cols>
    <col min="1" max="1" width="5.1796875" style="2" customWidth="1"/>
    <col min="2" max="2" width="48.81640625" style="2" customWidth="1"/>
    <col min="3" max="3" width="13.7265625" style="2" customWidth="1"/>
    <col min="4" max="4" width="3.26953125" style="2" customWidth="1"/>
    <col min="5" max="5" width="5.1796875" style="2" customWidth="1"/>
    <col min="6" max="16384" width="9.1796875" style="2"/>
  </cols>
  <sheetData>
    <row r="1" spans="1:6" x14ac:dyDescent="0.35">
      <c r="A1" s="1"/>
      <c r="B1" s="1"/>
      <c r="C1" s="1"/>
      <c r="D1" s="1"/>
      <c r="E1" s="1"/>
      <c r="F1" s="1"/>
    </row>
    <row r="2" spans="1:6" x14ac:dyDescent="0.35">
      <c r="A2" s="1"/>
      <c r="B2" s="1"/>
      <c r="C2" s="1"/>
      <c r="D2" s="1"/>
      <c r="E2" s="1"/>
      <c r="F2" s="1"/>
    </row>
    <row r="3" spans="1:6" ht="15" customHeight="1" x14ac:dyDescent="0.35">
      <c r="A3" s="1"/>
      <c r="B3" s="111" t="s">
        <v>204</v>
      </c>
      <c r="C3" s="111"/>
      <c r="D3" s="111"/>
      <c r="E3" s="1"/>
      <c r="F3" s="1"/>
    </row>
    <row r="4" spans="1:6" ht="15" customHeight="1" x14ac:dyDescent="0.35">
      <c r="A4" s="1"/>
      <c r="B4" s="111"/>
      <c r="C4" s="111"/>
      <c r="D4" s="111"/>
      <c r="E4" s="1"/>
      <c r="F4" s="1"/>
    </row>
    <row r="5" spans="1:6" x14ac:dyDescent="0.35">
      <c r="A5" s="1"/>
      <c r="B5" s="112" t="s">
        <v>253</v>
      </c>
      <c r="C5" s="112"/>
      <c r="D5" s="112"/>
      <c r="E5" s="1"/>
      <c r="F5" s="1"/>
    </row>
    <row r="6" spans="1:6" x14ac:dyDescent="0.35">
      <c r="A6" s="1"/>
      <c r="B6" s="74"/>
      <c r="C6" s="74"/>
      <c r="D6" s="74"/>
      <c r="E6" s="1"/>
      <c r="F6" s="1"/>
    </row>
    <row r="7" spans="1:6" x14ac:dyDescent="0.35">
      <c r="A7" s="1"/>
      <c r="B7" s="1"/>
      <c r="C7" s="1"/>
      <c r="D7" s="1"/>
      <c r="E7" s="1"/>
      <c r="F7" s="1"/>
    </row>
    <row r="8" spans="1:6" x14ac:dyDescent="0.35">
      <c r="A8" s="1"/>
      <c r="B8" s="33" t="s">
        <v>13</v>
      </c>
      <c r="C8" s="28"/>
      <c r="D8" s="19"/>
      <c r="E8" s="1"/>
      <c r="F8" s="1"/>
    </row>
    <row r="9" spans="1:6" ht="15" customHeight="1" x14ac:dyDescent="0.35">
      <c r="A9" s="1"/>
      <c r="B9" s="29" t="s">
        <v>208</v>
      </c>
      <c r="C9" s="7">
        <f>'Fane 2.3. Økonomisk ramme 2026'!C14</f>
        <v>66891868.633654125</v>
      </c>
      <c r="D9" s="8" t="s">
        <v>3</v>
      </c>
      <c r="E9" s="1"/>
      <c r="F9" s="1"/>
    </row>
    <row r="10" spans="1:6" ht="15" customHeight="1" x14ac:dyDescent="0.35">
      <c r="A10" s="1"/>
      <c r="B10" s="26" t="s">
        <v>19</v>
      </c>
      <c r="C10" s="7">
        <f>SUM(C9:C9)*'Fane 15. Nøgletal'!C16</f>
        <v>5404862.9855992533</v>
      </c>
      <c r="D10" s="8" t="s">
        <v>3</v>
      </c>
      <c r="E10" s="1"/>
      <c r="F10" s="1"/>
    </row>
    <row r="11" spans="1:6" ht="15" customHeight="1" x14ac:dyDescent="0.35">
      <c r="A11" s="1"/>
      <c r="B11" s="26" t="s">
        <v>10</v>
      </c>
      <c r="C11" s="9">
        <f>-SUM(C9:C10)*'Fane 5. Individuelt eff. krav'!G9</f>
        <v>0</v>
      </c>
      <c r="D11" s="8" t="s">
        <v>3</v>
      </c>
      <c r="E11" s="1"/>
      <c r="F11" s="1"/>
    </row>
    <row r="12" spans="1:6" ht="15" customHeight="1" x14ac:dyDescent="0.35">
      <c r="A12" s="1"/>
      <c r="B12" s="26" t="s">
        <v>23</v>
      </c>
      <c r="C12" s="9">
        <f>-'Fane 4.1. Gen. krav - drift'!G69</f>
        <v>-579780.69172746525</v>
      </c>
      <c r="D12" s="8" t="s">
        <v>3</v>
      </c>
      <c r="E12" s="1"/>
      <c r="F12" s="1"/>
    </row>
    <row r="13" spans="1:6" ht="15" customHeight="1" x14ac:dyDescent="0.35">
      <c r="A13" s="1"/>
      <c r="B13" s="26" t="s">
        <v>24</v>
      </c>
      <c r="C13" s="9">
        <f>-'Fane 4.2. Gen. krav - anlæg'!G70</f>
        <v>0</v>
      </c>
      <c r="D13" s="8" t="s">
        <v>3</v>
      </c>
      <c r="E13" s="1"/>
      <c r="F13" s="1"/>
    </row>
    <row r="14" spans="1:6" ht="14.25" customHeight="1" x14ac:dyDescent="0.35">
      <c r="A14" s="1"/>
      <c r="B14" s="27" t="s">
        <v>21</v>
      </c>
      <c r="C14" s="10">
        <f>SUM(C9:C13)</f>
        <v>71716950.927525923</v>
      </c>
      <c r="D14" s="11" t="s">
        <v>3</v>
      </c>
      <c r="E14" s="1"/>
      <c r="F14" s="1"/>
    </row>
    <row r="15" spans="1:6" x14ac:dyDescent="0.35">
      <c r="A15" s="1"/>
      <c r="B15" s="33" t="s">
        <v>12</v>
      </c>
      <c r="C15" s="28"/>
      <c r="D15" s="19"/>
      <c r="E15" s="1"/>
      <c r="F15" s="1"/>
    </row>
    <row r="16" spans="1:6" ht="15" customHeight="1" x14ac:dyDescent="0.35">
      <c r="A16" s="1"/>
      <c r="B16" s="31" t="s">
        <v>12</v>
      </c>
      <c r="C16" s="10">
        <f>'Fane 6. Ikke-påvirkelige omk.'!C21*(1+'Fane 15. Nøgletal'!C16)^3+'Fane 6. Ikke-påvirkelige omk.'!C28+'Fane 6. Ikke-påvirkelige omk.'!C36</f>
        <v>64770223.665943883</v>
      </c>
      <c r="D16" s="11" t="s">
        <v>3</v>
      </c>
      <c r="E16" s="1"/>
      <c r="F16" s="1"/>
    </row>
    <row r="17" spans="1:6" ht="15" customHeight="1" x14ac:dyDescent="0.35">
      <c r="A17" s="1"/>
      <c r="B17" s="33" t="s">
        <v>74</v>
      </c>
      <c r="C17" s="28"/>
      <c r="D17" s="19"/>
      <c r="E17" s="1"/>
      <c r="F17" s="1"/>
    </row>
    <row r="18" spans="1:6" ht="15" customHeight="1" x14ac:dyDescent="0.35">
      <c r="A18" s="1"/>
      <c r="B18" s="83" t="s">
        <v>74</v>
      </c>
      <c r="C18" s="10">
        <f>'Fane 12. Periodevise driftsomk.'!E31</f>
        <v>0</v>
      </c>
      <c r="D18" s="11" t="s">
        <v>3</v>
      </c>
      <c r="E18" s="1"/>
      <c r="F18" s="1"/>
    </row>
    <row r="19" spans="1:6" ht="15" customHeight="1" x14ac:dyDescent="0.35">
      <c r="A19" s="1"/>
      <c r="B19" s="33" t="s">
        <v>116</v>
      </c>
      <c r="C19" s="28"/>
      <c r="D19" s="19"/>
      <c r="E19" s="1"/>
      <c r="F19" s="1"/>
    </row>
    <row r="20" spans="1:6" ht="15" customHeight="1" x14ac:dyDescent="0.35">
      <c r="A20" s="1"/>
      <c r="B20" s="31" t="s">
        <v>138</v>
      </c>
      <c r="C20" s="10">
        <v>0</v>
      </c>
      <c r="D20" s="11" t="s">
        <v>3</v>
      </c>
      <c r="E20" s="1"/>
      <c r="F20" s="1"/>
    </row>
    <row r="21" spans="1:6" x14ac:dyDescent="0.35">
      <c r="A21" s="1"/>
      <c r="B21" s="30" t="s">
        <v>135</v>
      </c>
      <c r="C21" s="28"/>
      <c r="D21" s="19"/>
      <c r="E21" s="1"/>
      <c r="F21" s="1"/>
    </row>
    <row r="22" spans="1:6" x14ac:dyDescent="0.35">
      <c r="A22" s="1"/>
      <c r="B22" s="70" t="s">
        <v>136</v>
      </c>
      <c r="C22" s="10">
        <f>'Fane 8. Skattesagen'!G16</f>
        <v>0</v>
      </c>
      <c r="D22" s="11" t="s">
        <v>3</v>
      </c>
      <c r="E22" s="1"/>
      <c r="F22" s="1"/>
    </row>
    <row r="23" spans="1:6" x14ac:dyDescent="0.35">
      <c r="A23" s="1"/>
      <c r="B23" s="33" t="s">
        <v>209</v>
      </c>
      <c r="C23" s="12">
        <f>SUM(C14,C16,C18,C20,C22)</f>
        <v>136487174.5934698</v>
      </c>
      <c r="D23" s="13" t="s">
        <v>3</v>
      </c>
      <c r="E23" s="1"/>
      <c r="F23" s="1"/>
    </row>
    <row r="24" spans="1:6" x14ac:dyDescent="0.35">
      <c r="A24" s="1"/>
      <c r="B24" s="1"/>
      <c r="C24" s="1"/>
      <c r="D24" s="1"/>
      <c r="E24" s="1"/>
      <c r="F24" s="1"/>
    </row>
    <row r="25" spans="1:6" x14ac:dyDescent="0.35">
      <c r="A25" s="1"/>
      <c r="B25" s="1"/>
      <c r="C25" s="1"/>
      <c r="D25" s="1"/>
      <c r="E25" s="1"/>
      <c r="F25" s="1"/>
    </row>
    <row r="26" spans="1:6" x14ac:dyDescent="0.35">
      <c r="A26" s="1"/>
      <c r="B26" s="1"/>
      <c r="C26" s="1"/>
      <c r="D26" s="1"/>
      <c r="E26" s="1"/>
      <c r="F26" s="1"/>
    </row>
    <row r="27" spans="1:6" x14ac:dyDescent="0.35">
      <c r="A27" s="1"/>
      <c r="B27" s="1"/>
      <c r="C27" s="1"/>
      <c r="D27" s="1"/>
      <c r="E27" s="1"/>
      <c r="F27" s="1"/>
    </row>
    <row r="28" spans="1:6" x14ac:dyDescent="0.35">
      <c r="A28" s="1"/>
      <c r="B28" s="1"/>
      <c r="C28" s="1"/>
      <c r="D28" s="1"/>
      <c r="E28" s="1"/>
      <c r="F28" s="1"/>
    </row>
    <row r="29" spans="1:6" x14ac:dyDescent="0.35">
      <c r="A29" s="1"/>
      <c r="B29" s="1"/>
      <c r="C29" s="1"/>
      <c r="D29" s="1"/>
      <c r="E29" s="1"/>
      <c r="F29" s="1"/>
    </row>
    <row r="30" spans="1:6" x14ac:dyDescent="0.35">
      <c r="A30" s="1"/>
      <c r="B30" s="1"/>
      <c r="C30" s="1"/>
      <c r="D30" s="1"/>
      <c r="E30" s="1"/>
      <c r="F30" s="1"/>
    </row>
    <row r="31" spans="1:6" x14ac:dyDescent="0.35">
      <c r="A31" s="1"/>
      <c r="B31" s="1"/>
      <c r="C31" s="1"/>
      <c r="D31" s="1"/>
      <c r="E31" s="1"/>
      <c r="F31" s="1"/>
    </row>
    <row r="32" spans="1:6" x14ac:dyDescent="0.35">
      <c r="A32" s="1"/>
      <c r="B32" s="1"/>
      <c r="C32" s="1"/>
      <c r="D32" s="1"/>
      <c r="E32" s="1"/>
      <c r="F32" s="1"/>
    </row>
    <row r="33" spans="1:6" x14ac:dyDescent="0.35">
      <c r="A33" s="1"/>
      <c r="B33" s="1"/>
      <c r="C33" s="1"/>
      <c r="D33" s="1"/>
      <c r="E33" s="1"/>
      <c r="F33" s="1"/>
    </row>
    <row r="34" spans="1:6" x14ac:dyDescent="0.35">
      <c r="A34" s="1"/>
      <c r="B34" s="1"/>
      <c r="C34" s="1"/>
      <c r="D34" s="1"/>
      <c r="E34" s="1"/>
      <c r="F34" s="1"/>
    </row>
    <row r="35" spans="1:6" x14ac:dyDescent="0.35">
      <c r="A35" s="1"/>
      <c r="B35" s="1"/>
      <c r="C35" s="1"/>
      <c r="D35" s="1"/>
      <c r="E35" s="1"/>
      <c r="F35" s="1"/>
    </row>
    <row r="36" spans="1:6" x14ac:dyDescent="0.35">
      <c r="A36" s="1"/>
      <c r="B36" s="1"/>
      <c r="C36" s="1"/>
      <c r="D36" s="1"/>
      <c r="E36" s="1"/>
      <c r="F36" s="1"/>
    </row>
    <row r="37" spans="1:6" x14ac:dyDescent="0.35">
      <c r="A37" s="1"/>
      <c r="B37" s="1"/>
      <c r="C37" s="1"/>
      <c r="D37" s="1"/>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row r="49" spans="1:6" x14ac:dyDescent="0.35">
      <c r="A49" s="1"/>
      <c r="B49" s="1"/>
      <c r="C49" s="1"/>
      <c r="D49" s="1"/>
      <c r="E49" s="1"/>
      <c r="F49" s="1"/>
    </row>
    <row r="50" spans="1:6" x14ac:dyDescent="0.35">
      <c r="A50" s="1"/>
      <c r="B50" s="1"/>
      <c r="C50" s="1"/>
      <c r="D50" s="1"/>
      <c r="E50" s="1"/>
      <c r="F50" s="1"/>
    </row>
  </sheetData>
  <sheetProtection algorithmName="SHA-512" hashValue="nQhN8JnOl3wvldcczp+z1fHgvN/+6DrbJjT8ladWcpLFaiKJN5DsqiPnWIm4BDiO09nMN38DjiTJX0VwAgLlsg==" saltValue="0C0rX/zzdP/bjZGON4EeN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6"/>
  <sheetViews>
    <sheetView showGridLines="0" view="pageLayout" zoomScale="99" zoomScaleNormal="100" zoomScalePageLayoutView="99" workbookViewId="0"/>
  </sheetViews>
  <sheetFormatPr defaultColWidth="9.1796875" defaultRowHeight="14.5" x14ac:dyDescent="0.35"/>
  <cols>
    <col min="1" max="1" width="6.54296875" style="2" customWidth="1"/>
    <col min="2" max="2" width="52.26953125" style="2" customWidth="1"/>
    <col min="3" max="3" width="15.1796875" style="2" customWidth="1"/>
    <col min="4" max="4" width="4.1796875" style="2" customWidth="1"/>
    <col min="5" max="5" width="8.453125" style="2" bestFit="1" customWidth="1"/>
    <col min="6" max="16384" width="9.1796875" style="2"/>
  </cols>
  <sheetData>
    <row r="1" spans="1:5" x14ac:dyDescent="0.35">
      <c r="A1" s="1"/>
      <c r="B1" s="1"/>
      <c r="C1" s="1"/>
      <c r="D1" s="1"/>
      <c r="E1" s="1"/>
    </row>
    <row r="2" spans="1:5" x14ac:dyDescent="0.35">
      <c r="A2" s="1"/>
      <c r="B2" s="1"/>
      <c r="C2" s="1"/>
      <c r="D2" s="1"/>
      <c r="E2" s="1"/>
    </row>
    <row r="3" spans="1:5" ht="25" customHeight="1" x14ac:dyDescent="0.35">
      <c r="A3" s="1"/>
      <c r="B3" s="114" t="s">
        <v>205</v>
      </c>
      <c r="C3" s="114"/>
      <c r="D3" s="114"/>
      <c r="E3" s="1"/>
    </row>
    <row r="4" spans="1:5" x14ac:dyDescent="0.35">
      <c r="A4" s="1"/>
      <c r="B4" s="114"/>
      <c r="C4" s="114"/>
      <c r="D4" s="114"/>
      <c r="E4" s="1"/>
    </row>
    <row r="5" spans="1:5" x14ac:dyDescent="0.35">
      <c r="A5" s="1"/>
      <c r="B5" s="1"/>
      <c r="C5" s="1"/>
      <c r="D5" s="1"/>
      <c r="E5" s="1"/>
    </row>
    <row r="6" spans="1:5" x14ac:dyDescent="0.35">
      <c r="A6" s="1"/>
      <c r="B6" s="1"/>
      <c r="C6" s="1"/>
      <c r="D6" s="1"/>
      <c r="E6" s="1"/>
    </row>
    <row r="7" spans="1:5" x14ac:dyDescent="0.35">
      <c r="A7" s="1"/>
      <c r="B7" s="1"/>
      <c r="C7" s="1"/>
      <c r="D7" s="1"/>
      <c r="E7" s="1"/>
    </row>
    <row r="8" spans="1:5" x14ac:dyDescent="0.35">
      <c r="A8" s="1"/>
      <c r="B8" s="33" t="s">
        <v>254</v>
      </c>
      <c r="C8" s="28"/>
      <c r="D8" s="19"/>
      <c r="E8" s="1"/>
    </row>
    <row r="9" spans="1:5" x14ac:dyDescent="0.35">
      <c r="A9" s="1"/>
      <c r="B9" s="29" t="s">
        <v>255</v>
      </c>
      <c r="C9" s="7">
        <v>51085264.313411243</v>
      </c>
      <c r="D9" s="8" t="s">
        <v>3</v>
      </c>
      <c r="E9" s="1"/>
    </row>
    <row r="10" spans="1:5" x14ac:dyDescent="0.35">
      <c r="A10" s="1"/>
      <c r="B10" s="89" t="s">
        <v>36</v>
      </c>
      <c r="C10" s="7">
        <v>1145722.5972000002</v>
      </c>
      <c r="D10" s="8" t="s">
        <v>3</v>
      </c>
      <c r="E10" s="1"/>
    </row>
    <row r="11" spans="1:5" x14ac:dyDescent="0.35">
      <c r="A11" s="1"/>
      <c r="B11" s="89" t="s">
        <v>37</v>
      </c>
      <c r="C11" s="9">
        <v>95709.116400000014</v>
      </c>
      <c r="D11" s="8" t="s">
        <v>3</v>
      </c>
      <c r="E11" s="1"/>
    </row>
    <row r="12" spans="1:5" x14ac:dyDescent="0.35">
      <c r="A12" s="1"/>
      <c r="B12" s="89" t="s">
        <v>26</v>
      </c>
      <c r="C12" s="9">
        <v>0</v>
      </c>
      <c r="D12" s="8" t="s">
        <v>3</v>
      </c>
      <c r="E12" s="1"/>
    </row>
    <row r="13" spans="1:5" x14ac:dyDescent="0.35">
      <c r="A13" s="1"/>
      <c r="B13" s="89" t="s">
        <v>25</v>
      </c>
      <c r="C13" s="9">
        <v>0</v>
      </c>
      <c r="D13" s="8" t="s">
        <v>3</v>
      </c>
      <c r="E13" s="1"/>
    </row>
    <row r="14" spans="1:5" x14ac:dyDescent="0.35">
      <c r="A14" s="1"/>
      <c r="B14" s="89" t="s">
        <v>105</v>
      </c>
      <c r="C14" s="9">
        <v>0</v>
      </c>
      <c r="D14" s="8" t="s">
        <v>3</v>
      </c>
      <c r="E14" s="1"/>
    </row>
    <row r="15" spans="1:5" x14ac:dyDescent="0.35">
      <c r="A15" s="1"/>
      <c r="B15" s="89" t="s">
        <v>106</v>
      </c>
      <c r="C15" s="9">
        <v>0</v>
      </c>
      <c r="D15" s="8" t="s">
        <v>3</v>
      </c>
      <c r="E15" s="1"/>
    </row>
    <row r="16" spans="1:5" x14ac:dyDescent="0.35">
      <c r="A16" s="1"/>
      <c r="B16" s="89" t="s">
        <v>19</v>
      </c>
      <c r="C16" s="41">
        <v>212776.34123841711</v>
      </c>
      <c r="D16" s="8" t="s">
        <v>3</v>
      </c>
      <c r="E16" s="1"/>
    </row>
    <row r="17" spans="1:5" x14ac:dyDescent="0.35">
      <c r="A17" s="1"/>
      <c r="B17" s="89" t="s">
        <v>10</v>
      </c>
      <c r="C17" s="41">
        <v>-262563.542566619</v>
      </c>
      <c r="D17" s="8" t="s">
        <v>3</v>
      </c>
      <c r="E17" s="1"/>
    </row>
    <row r="18" spans="1:5" x14ac:dyDescent="0.35">
      <c r="A18" s="1"/>
      <c r="B18" s="89" t="s">
        <v>23</v>
      </c>
      <c r="C18" s="41">
        <v>-453766.62428668758</v>
      </c>
      <c r="D18" s="8" t="s">
        <v>3</v>
      </c>
      <c r="E18" s="1"/>
    </row>
    <row r="19" spans="1:5" x14ac:dyDescent="0.35">
      <c r="A19" s="1"/>
      <c r="B19" s="89" t="s">
        <v>24</v>
      </c>
      <c r="C19" s="41">
        <v>-473048.76198250364</v>
      </c>
      <c r="D19" s="8" t="s">
        <v>3</v>
      </c>
      <c r="E19" s="46"/>
    </row>
    <row r="20" spans="1:5" x14ac:dyDescent="0.35">
      <c r="A20" s="1"/>
      <c r="B20" s="83" t="s">
        <v>21</v>
      </c>
      <c r="C20" s="10">
        <v>51350093.439413853</v>
      </c>
      <c r="D20" s="11" t="s">
        <v>3</v>
      </c>
      <c r="E20" s="1"/>
    </row>
    <row r="21" spans="1:5" x14ac:dyDescent="0.35">
      <c r="A21" s="1"/>
      <c r="B21" s="33" t="s">
        <v>12</v>
      </c>
      <c r="C21" s="28"/>
      <c r="D21" s="19"/>
      <c r="E21" s="1"/>
    </row>
    <row r="22" spans="1:5" x14ac:dyDescent="0.35">
      <c r="A22" s="1"/>
      <c r="B22" s="31" t="s">
        <v>12</v>
      </c>
      <c r="C22" s="10">
        <v>48820513.306732848</v>
      </c>
      <c r="D22" s="11" t="s">
        <v>3</v>
      </c>
      <c r="E22" s="1"/>
    </row>
    <row r="23" spans="1:5" x14ac:dyDescent="0.35">
      <c r="A23" s="1"/>
      <c r="B23" s="33" t="s">
        <v>74</v>
      </c>
      <c r="C23" s="28"/>
      <c r="D23" s="19"/>
      <c r="E23" s="1"/>
    </row>
    <row r="24" spans="1:5" x14ac:dyDescent="0.35">
      <c r="A24" s="1"/>
      <c r="B24" s="83" t="s">
        <v>74</v>
      </c>
      <c r="C24" s="10">
        <v>0</v>
      </c>
      <c r="D24" s="11" t="s">
        <v>3</v>
      </c>
      <c r="E24" s="1"/>
    </row>
    <row r="25" spans="1:5" x14ac:dyDescent="0.35">
      <c r="A25" s="1"/>
      <c r="B25" s="44" t="s">
        <v>73</v>
      </c>
      <c r="C25" s="42"/>
      <c r="D25" s="43"/>
      <c r="E25" s="1"/>
    </row>
    <row r="26" spans="1:5" x14ac:dyDescent="0.35">
      <c r="A26" s="1"/>
      <c r="B26" s="89" t="s">
        <v>158</v>
      </c>
      <c r="C26" s="69">
        <v>689234.01851232001</v>
      </c>
      <c r="D26" s="8" t="s">
        <v>3</v>
      </c>
      <c r="E26" s="1"/>
    </row>
    <row r="27" spans="1:5" x14ac:dyDescent="0.35">
      <c r="A27" s="1"/>
      <c r="B27" s="89" t="s">
        <v>70</v>
      </c>
      <c r="C27" s="69">
        <v>0</v>
      </c>
      <c r="D27" s="8" t="s">
        <v>3</v>
      </c>
      <c r="E27" s="1"/>
    </row>
    <row r="28" spans="1:5" x14ac:dyDescent="0.35">
      <c r="A28" s="1"/>
      <c r="B28" s="89" t="s">
        <v>161</v>
      </c>
      <c r="C28" s="69">
        <v>-17229.094967515608</v>
      </c>
      <c r="D28" s="8" t="s">
        <v>3</v>
      </c>
      <c r="E28" s="1"/>
    </row>
    <row r="29" spans="1:5" x14ac:dyDescent="0.35">
      <c r="A29" s="1"/>
      <c r="B29" s="89" t="s">
        <v>162</v>
      </c>
      <c r="C29" s="69">
        <v>0</v>
      </c>
      <c r="D29" s="8" t="s">
        <v>3</v>
      </c>
      <c r="E29" s="1"/>
    </row>
    <row r="30" spans="1:5" x14ac:dyDescent="0.35">
      <c r="A30" s="1"/>
      <c r="B30" s="70" t="s">
        <v>75</v>
      </c>
      <c r="C30" s="10">
        <v>672004.92354480445</v>
      </c>
      <c r="D30" s="11" t="s">
        <v>3</v>
      </c>
      <c r="E30" s="1"/>
    </row>
    <row r="31" spans="1:5" x14ac:dyDescent="0.35">
      <c r="A31" s="1"/>
      <c r="B31" s="33" t="s">
        <v>116</v>
      </c>
      <c r="C31" s="28"/>
      <c r="D31" s="19"/>
      <c r="E31" s="1"/>
    </row>
    <row r="32" spans="1:5" x14ac:dyDescent="0.35">
      <c r="A32" s="1"/>
      <c r="B32" s="31" t="s">
        <v>138</v>
      </c>
      <c r="C32" s="10">
        <v>-3409990.5</v>
      </c>
      <c r="D32" s="11" t="s">
        <v>3</v>
      </c>
      <c r="E32" s="1"/>
    </row>
    <row r="33" spans="1:5" x14ac:dyDescent="0.35">
      <c r="A33" s="1"/>
      <c r="B33" s="33" t="s">
        <v>266</v>
      </c>
      <c r="C33" s="28"/>
      <c r="D33" s="19"/>
      <c r="E33" s="1"/>
    </row>
    <row r="34" spans="1:5" x14ac:dyDescent="0.35">
      <c r="A34" s="1"/>
      <c r="B34" s="31" t="s">
        <v>266</v>
      </c>
      <c r="C34" s="10">
        <v>-41333.180000000633</v>
      </c>
      <c r="D34" s="11" t="s">
        <v>3</v>
      </c>
      <c r="E34" s="1"/>
    </row>
    <row r="35" spans="1:5" x14ac:dyDescent="0.35">
      <c r="A35" s="1"/>
      <c r="B35" s="30" t="s">
        <v>135</v>
      </c>
      <c r="C35" s="28"/>
      <c r="D35" s="19"/>
      <c r="E35" s="1"/>
    </row>
    <row r="36" spans="1:5" x14ac:dyDescent="0.35">
      <c r="A36" s="1"/>
      <c r="B36" s="70" t="s">
        <v>136</v>
      </c>
      <c r="C36" s="10">
        <v>0</v>
      </c>
      <c r="D36" s="11" t="s">
        <v>3</v>
      </c>
      <c r="E36" s="1"/>
    </row>
    <row r="37" spans="1:5" x14ac:dyDescent="0.35">
      <c r="A37" s="1"/>
      <c r="B37" s="33" t="s">
        <v>267</v>
      </c>
      <c r="C37" s="48">
        <v>97391287.989691496</v>
      </c>
      <c r="D37" s="30" t="s">
        <v>3</v>
      </c>
      <c r="E37" s="1"/>
    </row>
    <row r="38" spans="1:5" ht="30" customHeight="1" x14ac:dyDescent="0.35">
      <c r="A38" s="1"/>
      <c r="B38" s="113" t="s">
        <v>268</v>
      </c>
      <c r="C38" s="113"/>
      <c r="D38" s="113"/>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sheetData>
  <sheetProtection algorithmName="SHA-512" hashValue="vmahs1G+qJmo10UX4WPvgCqT6sjfItrnUP7xw5GRhWcOJZRYs+OdODk8mXT31dr+T/05itIEDzZ92FIlky+VXA==" saltValue="crh/RSi7RHbM5yukMbZzog=="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796875" defaultRowHeight="14.5" x14ac:dyDescent="0.35"/>
  <cols>
    <col min="1" max="1" width="4.7265625" style="2" customWidth="1"/>
    <col min="2" max="5" width="9.1796875" style="2"/>
    <col min="6" max="6" width="20.453125" style="2" customWidth="1"/>
    <col min="7" max="7" width="16.26953125" style="2" customWidth="1"/>
    <col min="8" max="8" width="3.453125" style="2" customWidth="1"/>
    <col min="9" max="9" width="4.7265625" style="2" customWidth="1"/>
    <col min="10" max="16384" width="9.1796875" style="2"/>
  </cols>
  <sheetData>
    <row r="1" spans="1:9" ht="15" customHeight="1" x14ac:dyDescent="0.35">
      <c r="A1" s="1"/>
      <c r="B1" s="37"/>
      <c r="C1" s="37"/>
      <c r="D1" s="37"/>
      <c r="E1" s="37"/>
      <c r="F1" s="37"/>
      <c r="G1" s="37"/>
      <c r="H1" s="37"/>
      <c r="I1" s="1"/>
    </row>
    <row r="2" spans="1:9" ht="15" customHeight="1" x14ac:dyDescent="0.35">
      <c r="A2" s="1"/>
      <c r="B2" s="114" t="s">
        <v>91</v>
      </c>
      <c r="C2" s="114"/>
      <c r="D2" s="114"/>
      <c r="E2" s="114"/>
      <c r="F2" s="114"/>
      <c r="G2" s="114"/>
      <c r="H2" s="114"/>
      <c r="I2" s="1"/>
    </row>
    <row r="3" spans="1:9" ht="28.5" customHeight="1" x14ac:dyDescent="0.35">
      <c r="A3" s="1"/>
      <c r="B3" s="114"/>
      <c r="C3" s="114"/>
      <c r="D3" s="114"/>
      <c r="E3" s="114"/>
      <c r="F3" s="114"/>
      <c r="G3" s="114"/>
      <c r="H3" s="114"/>
      <c r="I3" s="1"/>
    </row>
    <row r="4" spans="1:9" x14ac:dyDescent="0.35">
      <c r="A4" s="1"/>
      <c r="B4" s="115" t="s">
        <v>46</v>
      </c>
      <c r="C4" s="116"/>
      <c r="D4" s="116"/>
      <c r="E4" s="116"/>
      <c r="F4" s="116"/>
      <c r="G4" s="116"/>
      <c r="H4" s="117"/>
      <c r="I4" s="1"/>
    </row>
    <row r="5" spans="1:9" x14ac:dyDescent="0.35">
      <c r="A5" s="1"/>
      <c r="B5" s="118" t="s">
        <v>38</v>
      </c>
      <c r="C5" s="119"/>
      <c r="D5" s="119"/>
      <c r="E5" s="119"/>
      <c r="F5" s="120"/>
      <c r="G5" s="62">
        <v>19729648.976067226</v>
      </c>
      <c r="H5" s="14" t="s">
        <v>3</v>
      </c>
      <c r="I5" s="1"/>
    </row>
    <row r="6" spans="1:9" x14ac:dyDescent="0.35">
      <c r="A6" s="1"/>
      <c r="B6" s="127" t="s">
        <v>102</v>
      </c>
      <c r="C6" s="128"/>
      <c r="D6" s="128"/>
      <c r="E6" s="128"/>
      <c r="F6" s="129"/>
      <c r="G6" s="66">
        <v>0</v>
      </c>
      <c r="H6" s="14" t="s">
        <v>3</v>
      </c>
      <c r="I6" s="1"/>
    </row>
    <row r="7" spans="1:9" x14ac:dyDescent="0.35">
      <c r="A7" s="1"/>
      <c r="B7" s="118" t="s">
        <v>39</v>
      </c>
      <c r="C7" s="119"/>
      <c r="D7" s="119"/>
      <c r="E7" s="119"/>
      <c r="F7" s="120"/>
      <c r="G7" s="23">
        <f>SUM(G5:G6)*'Fane 15. Nøgletal'!C33</f>
        <v>394592.97952134453</v>
      </c>
      <c r="H7" s="14" t="s">
        <v>3</v>
      </c>
      <c r="I7" s="1"/>
    </row>
    <row r="8" spans="1:9" x14ac:dyDescent="0.35">
      <c r="A8" s="1"/>
      <c r="B8" s="33"/>
      <c r="C8" s="28"/>
      <c r="D8" s="28"/>
      <c r="E8" s="28"/>
      <c r="F8" s="28"/>
      <c r="G8" s="28"/>
      <c r="H8" s="19"/>
      <c r="I8" s="1"/>
    </row>
    <row r="9" spans="1:9" x14ac:dyDescent="0.35">
      <c r="A9" s="1"/>
      <c r="B9" s="1"/>
      <c r="C9" s="1"/>
      <c r="D9" s="1"/>
      <c r="E9" s="1"/>
      <c r="F9" s="1"/>
      <c r="G9" s="1"/>
      <c r="H9" s="1"/>
      <c r="I9" s="1"/>
    </row>
    <row r="10" spans="1:9" x14ac:dyDescent="0.35">
      <c r="A10" s="1"/>
      <c r="B10" s="115" t="s">
        <v>47</v>
      </c>
      <c r="C10" s="116"/>
      <c r="D10" s="116"/>
      <c r="E10" s="116"/>
      <c r="F10" s="116"/>
      <c r="G10" s="116"/>
      <c r="H10" s="117"/>
      <c r="I10" s="1"/>
    </row>
    <row r="11" spans="1:9" x14ac:dyDescent="0.35">
      <c r="A11" s="1"/>
      <c r="B11" s="118" t="s">
        <v>40</v>
      </c>
      <c r="C11" s="119"/>
      <c r="D11" s="119"/>
      <c r="E11" s="119"/>
      <c r="F11" s="120"/>
      <c r="G11" s="23">
        <f>(G5-G7)*(1+'Fane 15. Nøgletal'!C10)</f>
        <v>19673419.476485435</v>
      </c>
      <c r="H11" s="14" t="s">
        <v>3</v>
      </c>
      <c r="I11" s="1"/>
    </row>
    <row r="12" spans="1:9" ht="15" customHeight="1" x14ac:dyDescent="0.35">
      <c r="A12" s="1"/>
      <c r="B12" s="118" t="s">
        <v>103</v>
      </c>
      <c r="C12" s="119"/>
      <c r="D12" s="119"/>
      <c r="E12" s="119"/>
      <c r="F12" s="120"/>
      <c r="G12" s="66">
        <v>-410602.65818000241</v>
      </c>
      <c r="H12" s="14" t="s">
        <v>3</v>
      </c>
      <c r="I12" s="1"/>
    </row>
    <row r="13" spans="1:9" x14ac:dyDescent="0.35">
      <c r="A13" s="1"/>
      <c r="B13" s="127" t="s">
        <v>100</v>
      </c>
      <c r="C13" s="128"/>
      <c r="D13" s="128"/>
      <c r="E13" s="128"/>
      <c r="F13" s="129"/>
      <c r="G13" s="66">
        <v>0</v>
      </c>
      <c r="H13" s="14" t="s">
        <v>3</v>
      </c>
      <c r="I13" s="1"/>
    </row>
    <row r="14" spans="1:9" x14ac:dyDescent="0.35">
      <c r="A14" s="1"/>
      <c r="B14" s="124" t="s">
        <v>244</v>
      </c>
      <c r="C14" s="125"/>
      <c r="D14" s="125"/>
      <c r="E14" s="125"/>
      <c r="F14" s="126"/>
      <c r="G14" s="66">
        <v>0</v>
      </c>
      <c r="H14" s="14" t="s">
        <v>3</v>
      </c>
      <c r="I14" s="1"/>
    </row>
    <row r="15" spans="1:9" x14ac:dyDescent="0.35">
      <c r="A15" s="1"/>
      <c r="B15" s="118" t="s">
        <v>41</v>
      </c>
      <c r="C15" s="119"/>
      <c r="D15" s="119"/>
      <c r="E15" s="119"/>
      <c r="F15" s="120"/>
      <c r="G15" s="23">
        <f>SUM(G11:G14)*'Fane 15. Nøgletal'!C33</f>
        <v>385256.33636610868</v>
      </c>
      <c r="H15" s="14" t="s">
        <v>3</v>
      </c>
      <c r="I15" s="1"/>
    </row>
    <row r="16" spans="1:9" x14ac:dyDescent="0.35">
      <c r="A16" s="1"/>
      <c r="B16" s="33"/>
      <c r="C16" s="28"/>
      <c r="D16" s="28"/>
      <c r="E16" s="28"/>
      <c r="F16" s="28"/>
      <c r="G16" s="28"/>
      <c r="H16" s="19"/>
      <c r="I16" s="1"/>
    </row>
    <row r="17" spans="1:9" x14ac:dyDescent="0.35">
      <c r="A17" s="1"/>
      <c r="B17" s="1"/>
      <c r="C17" s="1"/>
      <c r="D17" s="1"/>
      <c r="E17" s="1"/>
      <c r="F17" s="1"/>
      <c r="G17" s="1"/>
      <c r="H17" s="1"/>
      <c r="I17" s="1"/>
    </row>
    <row r="18" spans="1:9" x14ac:dyDescent="0.35">
      <c r="A18" s="1"/>
      <c r="B18" s="115" t="s">
        <v>48</v>
      </c>
      <c r="C18" s="116"/>
      <c r="D18" s="116"/>
      <c r="E18" s="116"/>
      <c r="F18" s="116"/>
      <c r="G18" s="116"/>
      <c r="H18" s="117"/>
      <c r="I18" s="1"/>
    </row>
    <row r="19" spans="1:9" x14ac:dyDescent="0.35">
      <c r="A19" s="1"/>
      <c r="B19" s="118" t="s">
        <v>42</v>
      </c>
      <c r="C19" s="119"/>
      <c r="D19" s="119"/>
      <c r="E19" s="119"/>
      <c r="F19" s="120"/>
      <c r="G19" s="23">
        <f>(SUM(G11:G12,G14)-(G15))*(1+'Fane 15. Nøgletal'!C10)</f>
        <v>19207917.790373262</v>
      </c>
      <c r="H19" s="14" t="s">
        <v>3</v>
      </c>
      <c r="I19" s="1"/>
    </row>
    <row r="20" spans="1:9" x14ac:dyDescent="0.35">
      <c r="A20" s="1"/>
      <c r="B20" s="124" t="s">
        <v>245</v>
      </c>
      <c r="C20" s="125"/>
      <c r="D20" s="125"/>
      <c r="E20" s="125"/>
      <c r="F20" s="126"/>
      <c r="G20" s="66">
        <v>0</v>
      </c>
      <c r="H20" s="14" t="s">
        <v>3</v>
      </c>
      <c r="I20" s="1"/>
    </row>
    <row r="21" spans="1:9" x14ac:dyDescent="0.35">
      <c r="A21" s="1"/>
      <c r="B21" s="118" t="s">
        <v>43</v>
      </c>
      <c r="C21" s="119"/>
      <c r="D21" s="119"/>
      <c r="E21" s="119"/>
      <c r="F21" s="120"/>
      <c r="G21" s="23">
        <f>SUM(G19:G20)*'Fane 15. Nøgletal'!C33</f>
        <v>384158.35580746527</v>
      </c>
      <c r="H21" s="14" t="s">
        <v>3</v>
      </c>
      <c r="I21" s="1"/>
    </row>
    <row r="22" spans="1:9" x14ac:dyDescent="0.35">
      <c r="A22" s="1"/>
      <c r="B22" s="33"/>
      <c r="C22" s="28"/>
      <c r="D22" s="28"/>
      <c r="E22" s="28"/>
      <c r="F22" s="28"/>
      <c r="G22" s="28"/>
      <c r="H22" s="19"/>
      <c r="I22" s="1"/>
    </row>
    <row r="23" spans="1:9" x14ac:dyDescent="0.35">
      <c r="A23" s="1"/>
      <c r="B23" s="1"/>
      <c r="C23" s="1"/>
      <c r="D23" s="1"/>
      <c r="E23" s="1"/>
      <c r="F23" s="1"/>
      <c r="G23" s="1"/>
      <c r="H23" s="1"/>
      <c r="I23" s="1"/>
    </row>
    <row r="24" spans="1:9" x14ac:dyDescent="0.35">
      <c r="A24" s="1"/>
      <c r="B24" s="115" t="s">
        <v>49</v>
      </c>
      <c r="C24" s="116"/>
      <c r="D24" s="116"/>
      <c r="E24" s="116"/>
      <c r="F24" s="116"/>
      <c r="G24" s="116"/>
      <c r="H24" s="117"/>
      <c r="I24" s="1"/>
    </row>
    <row r="25" spans="1:9" x14ac:dyDescent="0.35">
      <c r="A25" s="1"/>
      <c r="B25" s="118" t="s">
        <v>44</v>
      </c>
      <c r="C25" s="119"/>
      <c r="D25" s="119"/>
      <c r="E25" s="119"/>
      <c r="F25" s="120"/>
      <c r="G25" s="23">
        <f>(G19+G20-G21)*(1+'Fane 15. Nøgletal'!C12)</f>
        <v>19194587.495426744</v>
      </c>
      <c r="H25" s="14" t="s">
        <v>3</v>
      </c>
      <c r="I25" s="1"/>
    </row>
    <row r="26" spans="1:9" x14ac:dyDescent="0.35">
      <c r="A26" s="1"/>
      <c r="B26" s="124" t="s">
        <v>246</v>
      </c>
      <c r="C26" s="125"/>
      <c r="D26" s="125"/>
      <c r="E26" s="125"/>
      <c r="F26" s="126"/>
      <c r="G26" s="66">
        <v>1907927.9621028001</v>
      </c>
      <c r="H26" s="14" t="s">
        <v>3</v>
      </c>
      <c r="I26" s="1"/>
    </row>
    <row r="27" spans="1:9" x14ac:dyDescent="0.35">
      <c r="A27" s="1"/>
      <c r="B27" s="118" t="s">
        <v>45</v>
      </c>
      <c r="C27" s="119"/>
      <c r="D27" s="119"/>
      <c r="E27" s="119"/>
      <c r="F27" s="120"/>
      <c r="G27" s="23">
        <f>(G25+G26)*'Fane 15. Nøgletal'!C33</f>
        <v>422050.30915059091</v>
      </c>
      <c r="H27" s="14" t="s">
        <v>3</v>
      </c>
      <c r="I27" s="1"/>
    </row>
    <row r="28" spans="1:9" x14ac:dyDescent="0.35">
      <c r="A28" s="1"/>
      <c r="B28" s="33"/>
      <c r="C28" s="28"/>
      <c r="D28" s="28"/>
      <c r="E28" s="28"/>
      <c r="F28" s="28"/>
      <c r="G28" s="28"/>
      <c r="H28" s="19"/>
      <c r="I28" s="1"/>
    </row>
    <row r="29" spans="1:9" x14ac:dyDescent="0.35">
      <c r="A29" s="1"/>
      <c r="B29" s="1"/>
      <c r="C29" s="1"/>
      <c r="D29" s="1"/>
      <c r="E29" s="1"/>
      <c r="F29" s="1"/>
      <c r="G29" s="1"/>
      <c r="H29" s="1"/>
      <c r="I29" s="1"/>
    </row>
    <row r="30" spans="1:9" x14ac:dyDescent="0.35">
      <c r="A30" s="1"/>
      <c r="B30" s="115" t="s">
        <v>52</v>
      </c>
      <c r="C30" s="116"/>
      <c r="D30" s="116"/>
      <c r="E30" s="116"/>
      <c r="F30" s="116"/>
      <c r="G30" s="116"/>
      <c r="H30" s="117"/>
      <c r="I30" s="1"/>
    </row>
    <row r="31" spans="1:9" x14ac:dyDescent="0.35">
      <c r="A31" s="1"/>
      <c r="B31" s="118" t="s">
        <v>53</v>
      </c>
      <c r="C31" s="119"/>
      <c r="D31" s="119"/>
      <c r="E31" s="119"/>
      <c r="F31" s="120"/>
      <c r="G31" s="23">
        <f>(G25+G26-G27)*(1+'Fane 15. Nøgletal'!C12)</f>
        <v>21087870.311802018</v>
      </c>
      <c r="H31" s="14" t="s">
        <v>3</v>
      </c>
      <c r="I31" s="1"/>
    </row>
    <row r="32" spans="1:9" x14ac:dyDescent="0.35">
      <c r="A32" s="1"/>
      <c r="B32" s="118" t="s">
        <v>243</v>
      </c>
      <c r="C32" s="119"/>
      <c r="D32" s="119"/>
      <c r="E32" s="119"/>
      <c r="F32" s="120"/>
      <c r="G32" s="62">
        <v>0</v>
      </c>
      <c r="H32" s="14" t="s">
        <v>3</v>
      </c>
      <c r="I32" s="1"/>
    </row>
    <row r="33" spans="1:9" x14ac:dyDescent="0.35">
      <c r="A33" s="1"/>
      <c r="B33" s="118" t="s">
        <v>54</v>
      </c>
      <c r="C33" s="119"/>
      <c r="D33" s="119"/>
      <c r="E33" s="119"/>
      <c r="F33" s="120"/>
      <c r="G33" s="23">
        <f>(G31+G32)*'Fane 15. Nøgletal'!C33</f>
        <v>421757.40623604041</v>
      </c>
      <c r="H33" s="14" t="s">
        <v>3</v>
      </c>
      <c r="I33" s="1"/>
    </row>
    <row r="34" spans="1:9" x14ac:dyDescent="0.35">
      <c r="A34" s="1"/>
      <c r="B34" s="33"/>
      <c r="C34" s="28"/>
      <c r="D34" s="28"/>
      <c r="E34" s="28"/>
      <c r="F34" s="28"/>
      <c r="G34" s="28"/>
      <c r="H34" s="19"/>
      <c r="I34" s="1"/>
    </row>
    <row r="35" spans="1:9" x14ac:dyDescent="0.35">
      <c r="A35" s="1"/>
      <c r="B35" s="1"/>
      <c r="C35" s="1"/>
      <c r="D35" s="1"/>
      <c r="E35" s="1"/>
      <c r="F35" s="1"/>
      <c r="G35" s="1"/>
      <c r="H35" s="1"/>
      <c r="I35" s="1"/>
    </row>
    <row r="36" spans="1:9" x14ac:dyDescent="0.35">
      <c r="A36" s="1"/>
      <c r="B36" s="115" t="s">
        <v>126</v>
      </c>
      <c r="C36" s="116"/>
      <c r="D36" s="116"/>
      <c r="E36" s="116"/>
      <c r="F36" s="116"/>
      <c r="G36" s="116"/>
      <c r="H36" s="117"/>
      <c r="I36" s="1"/>
    </row>
    <row r="37" spans="1:9" x14ac:dyDescent="0.35">
      <c r="A37" s="1"/>
      <c r="B37" s="118" t="s">
        <v>68</v>
      </c>
      <c r="C37" s="119"/>
      <c r="D37" s="119"/>
      <c r="E37" s="119"/>
      <c r="F37" s="120"/>
      <c r="G37" s="23">
        <f>(G31+G32-G33)*(1+'Fane 15. Nøgletal'!C14)</f>
        <v>20734311.078154348</v>
      </c>
      <c r="H37" s="14" t="s">
        <v>3</v>
      </c>
      <c r="I37" s="1"/>
    </row>
    <row r="38" spans="1:9" x14ac:dyDescent="0.35">
      <c r="A38" s="1"/>
      <c r="B38" s="118" t="s">
        <v>242</v>
      </c>
      <c r="C38" s="119"/>
      <c r="D38" s="119"/>
      <c r="E38" s="119"/>
      <c r="F38" s="120"/>
      <c r="G38" s="62">
        <v>1134156.5426501203</v>
      </c>
      <c r="H38" s="14" t="s">
        <v>3</v>
      </c>
      <c r="I38" s="1"/>
    </row>
    <row r="39" spans="1:9" x14ac:dyDescent="0.35">
      <c r="A39" s="1"/>
      <c r="B39" s="118" t="s">
        <v>128</v>
      </c>
      <c r="C39" s="119"/>
      <c r="D39" s="119"/>
      <c r="E39" s="119"/>
      <c r="F39" s="120"/>
      <c r="G39" s="23">
        <f>(G37+G38)*'Fane 15. Nøgletal'!C33</f>
        <v>437369.35241608933</v>
      </c>
      <c r="H39" s="14" t="s">
        <v>3</v>
      </c>
      <c r="I39" s="1"/>
    </row>
    <row r="40" spans="1:9" x14ac:dyDescent="0.35">
      <c r="A40" s="1"/>
      <c r="B40" s="33"/>
      <c r="C40" s="28"/>
      <c r="D40" s="28"/>
      <c r="E40" s="28"/>
      <c r="F40" s="28"/>
      <c r="G40" s="28"/>
      <c r="H40" s="19"/>
      <c r="I40" s="1"/>
    </row>
    <row r="41" spans="1:9" x14ac:dyDescent="0.35">
      <c r="A41" s="1"/>
      <c r="B41" s="1"/>
      <c r="C41" s="1"/>
      <c r="D41" s="1"/>
      <c r="E41" s="1"/>
      <c r="F41" s="1"/>
      <c r="G41" s="1"/>
      <c r="H41" s="1"/>
      <c r="I41" s="1"/>
    </row>
    <row r="42" spans="1:9" x14ac:dyDescent="0.35">
      <c r="A42" s="1"/>
      <c r="B42" s="115" t="s">
        <v>127</v>
      </c>
      <c r="C42" s="116"/>
      <c r="D42" s="116"/>
      <c r="E42" s="116"/>
      <c r="F42" s="116"/>
      <c r="G42" s="116"/>
      <c r="H42" s="117"/>
      <c r="I42" s="1"/>
    </row>
    <row r="43" spans="1:9" x14ac:dyDescent="0.35">
      <c r="A43" s="1"/>
      <c r="B43" s="118" t="s">
        <v>155</v>
      </c>
      <c r="C43" s="119"/>
      <c r="D43" s="119"/>
      <c r="E43" s="119"/>
      <c r="F43" s="120"/>
      <c r="G43" s="23">
        <f>(G37+G38-G39)*(1+'Fane 15. Nøgletal'!C14)</f>
        <v>21501820.892674059</v>
      </c>
      <c r="H43" s="14" t="s">
        <v>3</v>
      </c>
      <c r="I43" s="1"/>
    </row>
    <row r="44" spans="1:9" x14ac:dyDescent="0.35">
      <c r="A44" s="1"/>
      <c r="B44" s="121" t="s">
        <v>157</v>
      </c>
      <c r="C44" s="122"/>
      <c r="D44" s="122"/>
      <c r="E44" s="122"/>
      <c r="F44" s="123"/>
      <c r="G44" s="72">
        <v>1186510.3216603203</v>
      </c>
      <c r="H44" s="14" t="s">
        <v>3</v>
      </c>
      <c r="I44" s="1"/>
    </row>
    <row r="45" spans="1:9" x14ac:dyDescent="0.35">
      <c r="A45" s="1"/>
      <c r="B45" s="118" t="s">
        <v>129</v>
      </c>
      <c r="C45" s="119"/>
      <c r="D45" s="119"/>
      <c r="E45" s="119"/>
      <c r="F45" s="120"/>
      <c r="G45" s="23">
        <f>SUM(G43:G44)*'Fane 15. Nøgletal'!C33</f>
        <v>453766.62428668758</v>
      </c>
      <c r="H45" s="14" t="s">
        <v>3</v>
      </c>
      <c r="I45" s="1"/>
    </row>
    <row r="46" spans="1:9" x14ac:dyDescent="0.35">
      <c r="A46" s="1"/>
      <c r="B46" s="33"/>
      <c r="C46" s="28"/>
      <c r="D46" s="28"/>
      <c r="E46" s="28"/>
      <c r="F46" s="28"/>
      <c r="G46" s="28"/>
      <c r="H46" s="19"/>
      <c r="I46" s="1"/>
    </row>
    <row r="47" spans="1:9" x14ac:dyDescent="0.35">
      <c r="A47" s="1"/>
      <c r="B47" s="1"/>
      <c r="C47" s="1"/>
      <c r="D47" s="1"/>
      <c r="E47" s="1"/>
      <c r="F47" s="1"/>
      <c r="G47" s="1"/>
      <c r="H47" s="1"/>
      <c r="I47" s="1"/>
    </row>
    <row r="48" spans="1:9" x14ac:dyDescent="0.35">
      <c r="A48" s="1"/>
      <c r="B48" s="1"/>
      <c r="C48" s="1"/>
      <c r="D48" s="1"/>
      <c r="E48" s="1"/>
      <c r="F48" s="1"/>
      <c r="G48" s="45"/>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row r="51" spans="1:9" x14ac:dyDescent="0.35">
      <c r="A51" s="1"/>
      <c r="B51" s="115" t="s">
        <v>192</v>
      </c>
      <c r="C51" s="116"/>
      <c r="D51" s="116"/>
      <c r="E51" s="116"/>
      <c r="F51" s="116"/>
      <c r="G51" s="116"/>
      <c r="H51" s="117"/>
      <c r="I51" s="1"/>
    </row>
    <row r="52" spans="1:9" x14ac:dyDescent="0.35">
      <c r="A52" s="1"/>
      <c r="B52" s="118" t="s">
        <v>154</v>
      </c>
      <c r="C52" s="119"/>
      <c r="D52" s="119"/>
      <c r="E52" s="119"/>
      <c r="F52" s="120"/>
      <c r="G52" s="23">
        <f>(G43+G44-G45)*(1+'Fane 15. Nøgletal'!C16)</f>
        <v>24031117.408923544</v>
      </c>
      <c r="H52" s="14" t="s">
        <v>3</v>
      </c>
      <c r="I52" s="1"/>
    </row>
    <row r="53" spans="1:9" x14ac:dyDescent="0.35">
      <c r="A53" s="1"/>
      <c r="B53" s="79" t="s">
        <v>194</v>
      </c>
      <c r="C53" s="80"/>
      <c r="D53" s="80"/>
      <c r="E53" s="80"/>
      <c r="F53" s="81"/>
      <c r="G53" s="23">
        <f>('Fane 2.1. Økonomisk ramme 2024'!C10+'Fane 2.1. Økonomisk ramme 2024'!C12+'Fane 2.1. Økonomisk ramme 2024'!C14)*(1+'Fane 15. Nøgletal'!C16)</f>
        <v>364932.73216512002</v>
      </c>
      <c r="H53" s="14" t="s">
        <v>3</v>
      </c>
      <c r="I53" s="1"/>
    </row>
    <row r="54" spans="1:9" x14ac:dyDescent="0.35">
      <c r="A54" s="1"/>
      <c r="B54" s="118" t="s">
        <v>210</v>
      </c>
      <c r="C54" s="119"/>
      <c r="D54" s="119"/>
      <c r="E54" s="119"/>
      <c r="F54" s="120"/>
      <c r="G54" s="23">
        <f>(G52)*'Fane 15. Nøgletal'!C33+(G53)*'Fane 15. Nøgletal'!C33</f>
        <v>487921.00282177329</v>
      </c>
      <c r="H54" s="14" t="s">
        <v>3</v>
      </c>
      <c r="I54" s="1"/>
    </row>
    <row r="55" spans="1:9" x14ac:dyDescent="0.35">
      <c r="A55" s="1"/>
      <c r="B55" s="33"/>
      <c r="C55" s="28"/>
      <c r="D55" s="28"/>
      <c r="E55" s="28"/>
      <c r="F55" s="28"/>
      <c r="G55" s="28"/>
      <c r="H55" s="19"/>
      <c r="I55" s="1"/>
    </row>
    <row r="56" spans="1:9" x14ac:dyDescent="0.35">
      <c r="A56" s="1"/>
      <c r="B56" s="1"/>
      <c r="C56" s="1"/>
      <c r="D56" s="1"/>
      <c r="E56" s="1"/>
      <c r="F56" s="1"/>
      <c r="G56" s="1"/>
      <c r="H56" s="1"/>
      <c r="I56" s="1"/>
    </row>
    <row r="57" spans="1:9" x14ac:dyDescent="0.35">
      <c r="A57" s="1"/>
      <c r="B57" s="115" t="s">
        <v>193</v>
      </c>
      <c r="C57" s="116"/>
      <c r="D57" s="116"/>
      <c r="E57" s="116"/>
      <c r="F57" s="116"/>
      <c r="G57" s="116"/>
      <c r="H57" s="117"/>
      <c r="I57" s="1"/>
    </row>
    <row r="58" spans="1:9" x14ac:dyDescent="0.35">
      <c r="A58" s="1"/>
      <c r="B58" s="79" t="s">
        <v>212</v>
      </c>
      <c r="C58" s="80"/>
      <c r="D58" s="80"/>
      <c r="E58" s="80"/>
      <c r="F58" s="81"/>
      <c r="G58" s="23">
        <f>(G52+G53-G54)*(1+'Fane 15. Nøgletal'!C16)</f>
        <v>25839905.972638857</v>
      </c>
      <c r="H58" s="14" t="s">
        <v>3</v>
      </c>
      <c r="I58" s="1"/>
    </row>
    <row r="59" spans="1:9" x14ac:dyDescent="0.35">
      <c r="A59" s="1"/>
      <c r="B59" s="79" t="s">
        <v>211</v>
      </c>
      <c r="C59" s="80"/>
      <c r="D59" s="80"/>
      <c r="E59" s="80"/>
      <c r="F59" s="81"/>
      <c r="G59" s="23">
        <f>(G58)*'Fane 15. Nøgletal'!C33</f>
        <v>516798.11945277714</v>
      </c>
      <c r="H59" s="14" t="s">
        <v>3</v>
      </c>
      <c r="I59" s="1"/>
    </row>
    <row r="60" spans="1:9" x14ac:dyDescent="0.35">
      <c r="A60" s="1"/>
      <c r="B60" s="33"/>
      <c r="C60" s="28"/>
      <c r="D60" s="28"/>
      <c r="E60" s="28"/>
      <c r="F60" s="28"/>
      <c r="G60" s="28"/>
      <c r="H60" s="19"/>
      <c r="I60" s="1"/>
    </row>
    <row r="61" spans="1:9" x14ac:dyDescent="0.35">
      <c r="A61" s="1"/>
      <c r="B61" s="1"/>
      <c r="C61" s="1"/>
      <c r="D61" s="1"/>
      <c r="E61" s="1"/>
      <c r="F61" s="1"/>
      <c r="G61" s="1"/>
      <c r="H61" s="1"/>
      <c r="I61" s="1"/>
    </row>
    <row r="62" spans="1:9" x14ac:dyDescent="0.35">
      <c r="A62" s="1"/>
      <c r="B62" s="115" t="s">
        <v>256</v>
      </c>
      <c r="C62" s="116"/>
      <c r="D62" s="116"/>
      <c r="E62" s="116"/>
      <c r="F62" s="116"/>
      <c r="G62" s="116"/>
      <c r="H62" s="117"/>
      <c r="I62" s="1"/>
    </row>
    <row r="63" spans="1:9" x14ac:dyDescent="0.35">
      <c r="A63" s="1"/>
      <c r="B63" s="79" t="s">
        <v>213</v>
      </c>
      <c r="C63" s="80"/>
      <c r="D63" s="80"/>
      <c r="E63" s="80"/>
      <c r="F63" s="81"/>
      <c r="G63" s="23">
        <f>(G58-G59)*(1+'Fane 15. Nøgletal'!C16)</f>
        <v>27369214.967723515</v>
      </c>
      <c r="H63" s="14" t="s">
        <v>3</v>
      </c>
      <c r="I63" s="1"/>
    </row>
    <row r="64" spans="1:9" x14ac:dyDescent="0.35">
      <c r="A64" s="1"/>
      <c r="B64" s="79" t="s">
        <v>214</v>
      </c>
      <c r="C64" s="80"/>
      <c r="D64" s="80"/>
      <c r="E64" s="80"/>
      <c r="F64" s="81"/>
      <c r="G64" s="23">
        <f>(G63)*'Fane 15. Nøgletal'!C33</f>
        <v>547384.29935447033</v>
      </c>
      <c r="H64" s="14" t="s">
        <v>3</v>
      </c>
      <c r="I64" s="1"/>
    </row>
    <row r="65" spans="1:9" x14ac:dyDescent="0.35">
      <c r="A65" s="1"/>
      <c r="B65" s="33"/>
      <c r="C65" s="28"/>
      <c r="D65" s="28"/>
      <c r="E65" s="28"/>
      <c r="F65" s="28"/>
      <c r="G65" s="28"/>
      <c r="H65" s="19"/>
      <c r="I65" s="1"/>
    </row>
    <row r="66" spans="1:9" x14ac:dyDescent="0.35">
      <c r="A66" s="1"/>
      <c r="B66" s="1"/>
      <c r="C66" s="1"/>
      <c r="D66" s="1"/>
      <c r="E66" s="1"/>
      <c r="F66" s="1"/>
      <c r="G66" s="1"/>
      <c r="H66" s="1"/>
      <c r="I66" s="1"/>
    </row>
    <row r="67" spans="1:9" x14ac:dyDescent="0.35">
      <c r="A67" s="1"/>
      <c r="B67" s="115" t="s">
        <v>257</v>
      </c>
      <c r="C67" s="116"/>
      <c r="D67" s="116"/>
      <c r="E67" s="116"/>
      <c r="F67" s="116"/>
      <c r="G67" s="116"/>
      <c r="H67" s="117"/>
      <c r="I67" s="1"/>
    </row>
    <row r="68" spans="1:9" x14ac:dyDescent="0.35">
      <c r="A68" s="1"/>
      <c r="B68" s="79" t="s">
        <v>213</v>
      </c>
      <c r="C68" s="80"/>
      <c r="D68" s="80"/>
      <c r="E68" s="80"/>
      <c r="F68" s="81"/>
      <c r="G68" s="23">
        <f>(G63-G64)*(1+'Fane 15. Nøgletal'!C16)</f>
        <v>28989034.586373262</v>
      </c>
      <c r="H68" s="14" t="s">
        <v>3</v>
      </c>
      <c r="I68" s="1"/>
    </row>
    <row r="69" spans="1:9" x14ac:dyDescent="0.35">
      <c r="A69" s="1"/>
      <c r="B69" s="79" t="s">
        <v>214</v>
      </c>
      <c r="C69" s="80"/>
      <c r="D69" s="80"/>
      <c r="E69" s="80"/>
      <c r="F69" s="81"/>
      <c r="G69" s="23">
        <f>(G68)*'Fane 15. Nøgletal'!C33</f>
        <v>579780.69172746525</v>
      </c>
      <c r="H69" s="14" t="s">
        <v>3</v>
      </c>
      <c r="I69" s="1"/>
    </row>
    <row r="70" spans="1:9" x14ac:dyDescent="0.35">
      <c r="A70" s="1"/>
      <c r="B70" s="33"/>
      <c r="C70" s="28"/>
      <c r="D70" s="28"/>
      <c r="E70" s="28"/>
      <c r="F70" s="28"/>
      <c r="G70" s="28"/>
      <c r="H70" s="19"/>
      <c r="I70" s="1"/>
    </row>
    <row r="71" spans="1:9" x14ac:dyDescent="0.35">
      <c r="A71" s="1"/>
      <c r="B71" s="1"/>
      <c r="C71" s="1"/>
      <c r="D71" s="1"/>
      <c r="E71" s="1"/>
      <c r="F71" s="1"/>
      <c r="G71" s="1"/>
      <c r="H71" s="1"/>
      <c r="I71" s="1"/>
    </row>
    <row r="72" spans="1:9" x14ac:dyDescent="0.35">
      <c r="A72" s="1"/>
      <c r="B72" s="1"/>
      <c r="C72" s="1"/>
      <c r="D72" s="1"/>
      <c r="E72" s="1"/>
      <c r="F72" s="1"/>
      <c r="G72" s="1"/>
      <c r="H72" s="1"/>
      <c r="I72" s="1"/>
    </row>
    <row r="73" spans="1:9" x14ac:dyDescent="0.35">
      <c r="A73" s="1"/>
      <c r="B73" s="1"/>
      <c r="C73" s="1"/>
      <c r="D73" s="1"/>
      <c r="E73" s="1"/>
      <c r="F73" s="1"/>
      <c r="G73" s="1"/>
      <c r="H73" s="1"/>
      <c r="I73" s="1"/>
    </row>
    <row r="74" spans="1:9" x14ac:dyDescent="0.35">
      <c r="A74" s="60"/>
      <c r="B74" s="60"/>
      <c r="C74" s="60"/>
      <c r="D74" s="60"/>
      <c r="E74" s="60"/>
      <c r="F74" s="60"/>
      <c r="G74" s="60"/>
      <c r="H74" s="60"/>
      <c r="I74" s="60"/>
    </row>
    <row r="75" spans="1:9" x14ac:dyDescent="0.35">
      <c r="A75" s="60"/>
      <c r="B75" s="60"/>
      <c r="C75" s="60"/>
      <c r="D75" s="60"/>
      <c r="E75" s="60"/>
      <c r="F75" s="60"/>
      <c r="G75" s="60"/>
      <c r="H75" s="60"/>
      <c r="I75" s="60"/>
    </row>
    <row r="76" spans="1:9" x14ac:dyDescent="0.35">
      <c r="A76" s="60"/>
      <c r="B76" s="60"/>
      <c r="C76" s="60"/>
      <c r="D76" s="60"/>
      <c r="E76" s="60"/>
      <c r="F76" s="60"/>
      <c r="G76" s="60"/>
      <c r="H76" s="60"/>
      <c r="I76" s="60"/>
    </row>
    <row r="77" spans="1:9" x14ac:dyDescent="0.35">
      <c r="A77" s="60"/>
      <c r="B77" s="60"/>
      <c r="C77" s="60"/>
      <c r="D77" s="60"/>
      <c r="E77" s="60"/>
      <c r="F77" s="60"/>
      <c r="G77" s="60"/>
      <c r="H77" s="60"/>
      <c r="I77" s="60"/>
    </row>
    <row r="78" spans="1:9" x14ac:dyDescent="0.35">
      <c r="A78" s="60"/>
      <c r="B78" s="60"/>
      <c r="C78" s="60"/>
      <c r="D78" s="60"/>
      <c r="E78" s="60"/>
      <c r="F78" s="60"/>
      <c r="G78" s="60"/>
      <c r="H78" s="60"/>
      <c r="I78" s="60"/>
    </row>
    <row r="79" spans="1:9" x14ac:dyDescent="0.35">
      <c r="A79" s="60"/>
      <c r="B79" s="60"/>
      <c r="C79" s="60"/>
      <c r="D79" s="60"/>
      <c r="E79" s="60"/>
      <c r="F79" s="60"/>
      <c r="G79" s="60"/>
      <c r="H79" s="60"/>
      <c r="I79" s="60"/>
    </row>
    <row r="80" spans="1:9" x14ac:dyDescent="0.35">
      <c r="A80" s="60"/>
      <c r="B80" s="60"/>
      <c r="C80" s="60"/>
      <c r="D80" s="60"/>
      <c r="E80" s="60"/>
      <c r="F80" s="60"/>
      <c r="G80" s="60"/>
      <c r="H80" s="60"/>
      <c r="I80" s="60"/>
    </row>
    <row r="81" spans="1:9" x14ac:dyDescent="0.35">
      <c r="A81" s="60"/>
      <c r="B81" s="60"/>
      <c r="C81" s="60"/>
      <c r="D81" s="60"/>
      <c r="E81" s="60"/>
      <c r="F81" s="60"/>
      <c r="G81" s="60"/>
      <c r="H81" s="60"/>
      <c r="I81" s="60"/>
    </row>
    <row r="82" spans="1:9" x14ac:dyDescent="0.35">
      <c r="A82" s="60"/>
      <c r="B82" s="60"/>
      <c r="C82" s="60"/>
      <c r="D82" s="60"/>
      <c r="E82" s="60"/>
      <c r="F82" s="60"/>
      <c r="G82" s="60"/>
      <c r="H82" s="60"/>
      <c r="I82" s="60"/>
    </row>
    <row r="83" spans="1:9" x14ac:dyDescent="0.35">
      <c r="A83" s="60"/>
      <c r="B83" s="60"/>
      <c r="C83" s="60"/>
      <c r="D83" s="60"/>
      <c r="E83" s="60"/>
      <c r="F83" s="60"/>
      <c r="G83" s="60"/>
      <c r="H83" s="60"/>
      <c r="I83" s="60"/>
    </row>
    <row r="84" spans="1:9" x14ac:dyDescent="0.35">
      <c r="A84" s="60"/>
      <c r="B84" s="60"/>
      <c r="C84" s="60"/>
      <c r="D84" s="60"/>
      <c r="E84" s="60"/>
      <c r="F84" s="60"/>
      <c r="G84" s="60"/>
      <c r="H84" s="60"/>
      <c r="I84" s="60"/>
    </row>
    <row r="85" spans="1:9" x14ac:dyDescent="0.35">
      <c r="A85" s="60"/>
      <c r="B85" s="60"/>
      <c r="C85" s="60"/>
      <c r="D85" s="60"/>
      <c r="E85" s="60"/>
      <c r="F85" s="60"/>
      <c r="G85" s="60"/>
      <c r="H85" s="60"/>
      <c r="I85" s="60"/>
    </row>
    <row r="86" spans="1:9" x14ac:dyDescent="0.35">
      <c r="A86" s="60"/>
      <c r="B86" s="60"/>
      <c r="C86" s="60"/>
      <c r="D86" s="60"/>
      <c r="E86" s="60"/>
      <c r="F86" s="60"/>
      <c r="G86" s="60"/>
      <c r="H86" s="60"/>
      <c r="I86" s="60"/>
    </row>
    <row r="87" spans="1:9" x14ac:dyDescent="0.35">
      <c r="A87" s="60"/>
      <c r="B87" s="60"/>
      <c r="C87" s="60"/>
      <c r="D87" s="60"/>
      <c r="E87" s="60"/>
      <c r="F87" s="60"/>
      <c r="G87" s="60"/>
      <c r="H87" s="60"/>
      <c r="I87" s="60"/>
    </row>
    <row r="88" spans="1:9" x14ac:dyDescent="0.35">
      <c r="A88" s="60"/>
      <c r="B88" s="60"/>
      <c r="C88" s="60"/>
      <c r="D88" s="60"/>
      <c r="E88" s="60"/>
      <c r="F88" s="60"/>
      <c r="G88" s="60"/>
      <c r="H88" s="60"/>
      <c r="I88" s="60"/>
    </row>
    <row r="89" spans="1:9" x14ac:dyDescent="0.35">
      <c r="A89" s="60"/>
      <c r="B89" s="60"/>
      <c r="C89" s="60"/>
      <c r="D89" s="60"/>
      <c r="E89" s="60"/>
      <c r="F89" s="60"/>
      <c r="G89" s="60"/>
      <c r="H89" s="60"/>
      <c r="I89" s="60"/>
    </row>
    <row r="90" spans="1:9" x14ac:dyDescent="0.35">
      <c r="A90" s="60"/>
      <c r="B90" s="60"/>
      <c r="C90" s="60"/>
      <c r="D90" s="60"/>
      <c r="E90" s="60"/>
      <c r="F90" s="60"/>
      <c r="G90" s="60"/>
      <c r="H90" s="60"/>
      <c r="I90" s="60"/>
    </row>
    <row r="91" spans="1:9" x14ac:dyDescent="0.35">
      <c r="A91" s="60"/>
      <c r="B91" s="60"/>
      <c r="C91" s="60"/>
      <c r="D91" s="60"/>
      <c r="E91" s="60"/>
      <c r="F91" s="60"/>
      <c r="G91" s="60"/>
      <c r="H91" s="60"/>
      <c r="I91" s="60"/>
    </row>
    <row r="92" spans="1:9" x14ac:dyDescent="0.35">
      <c r="A92" s="60"/>
      <c r="B92" s="60"/>
      <c r="C92" s="60"/>
      <c r="D92" s="60"/>
      <c r="E92" s="60"/>
      <c r="F92" s="60"/>
      <c r="G92" s="60"/>
      <c r="H92" s="60"/>
      <c r="I92" s="60"/>
    </row>
    <row r="93" spans="1:9" x14ac:dyDescent="0.35">
      <c r="A93" s="60"/>
      <c r="B93" s="60"/>
      <c r="C93" s="60"/>
      <c r="D93" s="60"/>
      <c r="E93" s="60"/>
      <c r="F93" s="60"/>
      <c r="G93" s="60"/>
      <c r="H93" s="60"/>
      <c r="I93" s="60"/>
    </row>
    <row r="94" spans="1:9" x14ac:dyDescent="0.35">
      <c r="A94" s="60"/>
      <c r="B94" s="60"/>
      <c r="C94" s="60"/>
      <c r="D94" s="60"/>
      <c r="E94" s="60"/>
      <c r="F94" s="60"/>
      <c r="G94" s="60"/>
      <c r="H94" s="60"/>
      <c r="I94" s="60"/>
    </row>
    <row r="95" spans="1:9" x14ac:dyDescent="0.35">
      <c r="A95" s="60"/>
      <c r="B95" s="60"/>
      <c r="C95" s="60"/>
      <c r="D95" s="60"/>
      <c r="E95" s="60"/>
      <c r="F95" s="60"/>
      <c r="G95" s="60"/>
      <c r="H95" s="60"/>
      <c r="I95" s="60"/>
    </row>
    <row r="96" spans="1:9" x14ac:dyDescent="0.35">
      <c r="A96" s="60"/>
      <c r="B96" s="60"/>
      <c r="C96" s="60"/>
      <c r="D96" s="60"/>
      <c r="E96" s="60"/>
      <c r="F96" s="60"/>
      <c r="G96" s="60"/>
      <c r="H96" s="60"/>
      <c r="I96" s="60"/>
    </row>
    <row r="97" spans="1:9" x14ac:dyDescent="0.35">
      <c r="A97" s="60"/>
      <c r="B97" s="60"/>
      <c r="C97" s="60"/>
      <c r="D97" s="60"/>
      <c r="E97" s="60"/>
      <c r="F97" s="60"/>
      <c r="G97" s="60"/>
      <c r="H97" s="60"/>
      <c r="I97" s="60"/>
    </row>
    <row r="98" spans="1:9" x14ac:dyDescent="0.35">
      <c r="A98" s="60"/>
      <c r="B98" s="60"/>
      <c r="C98" s="60"/>
      <c r="D98" s="60"/>
      <c r="E98" s="60"/>
      <c r="F98" s="60"/>
      <c r="G98" s="60"/>
      <c r="H98" s="60"/>
      <c r="I98" s="60"/>
    </row>
    <row r="99" spans="1:9" x14ac:dyDescent="0.35">
      <c r="A99" s="60"/>
      <c r="B99" s="60"/>
      <c r="C99" s="60"/>
      <c r="D99" s="60"/>
      <c r="E99" s="60"/>
      <c r="F99" s="60"/>
      <c r="G99" s="60"/>
      <c r="H99" s="60"/>
      <c r="I99" s="60"/>
    </row>
  </sheetData>
  <sheetProtection algorithmName="SHA-512" hashValue="0n2+ER+l/vJ8TtDAXEB811gOV4QlI9kTQGdk1wytdQg8mR5lA+I71vVVURUGVnuCSdJunx84AP+PU4JIADoteg==" saltValue="JeiaQdpMYk1Yq+okEGzODg==" spinCount="100000" sheet="1" objects="1" scenarios="1"/>
  <mergeCells count="37">
    <mergeCell ref="B6:F6"/>
    <mergeCell ref="B2:H3"/>
    <mergeCell ref="B24:H24"/>
    <mergeCell ref="B4:H4"/>
    <mergeCell ref="B5:F5"/>
    <mergeCell ref="B7:F7"/>
    <mergeCell ref="B12:F12"/>
    <mergeCell ref="B13:F13"/>
    <mergeCell ref="B18:H18"/>
    <mergeCell ref="B14:F1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7:H67"/>
    <mergeCell ref="B54:F54"/>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796875" defaultRowHeight="14.5" x14ac:dyDescent="0.35"/>
  <cols>
    <col min="1" max="1" width="2.81640625" style="2" customWidth="1"/>
    <col min="2" max="5" width="9.1796875" style="2"/>
    <col min="6" max="6" width="27.54296875" style="2" customWidth="1"/>
    <col min="7" max="7" width="14.1796875" style="2" customWidth="1"/>
    <col min="8" max="8" width="3.26953125" style="2" customWidth="1"/>
    <col min="9" max="9" width="2.81640625" style="2" customWidth="1"/>
    <col min="10" max="16384" width="9.1796875" style="2"/>
  </cols>
  <sheetData>
    <row r="1" spans="1:9" ht="14.25" customHeight="1" x14ac:dyDescent="0.35">
      <c r="A1" s="1"/>
      <c r="B1" s="130" t="s">
        <v>92</v>
      </c>
      <c r="C1" s="130"/>
      <c r="D1" s="130"/>
      <c r="E1" s="130"/>
      <c r="F1" s="130"/>
      <c r="G1" s="130"/>
      <c r="H1" s="130"/>
      <c r="I1" s="1"/>
    </row>
    <row r="2" spans="1:9" ht="15" customHeight="1" x14ac:dyDescent="0.35">
      <c r="A2" s="1"/>
      <c r="B2" s="130"/>
      <c r="C2" s="130"/>
      <c r="D2" s="130"/>
      <c r="E2" s="130"/>
      <c r="F2" s="130"/>
      <c r="G2" s="130"/>
      <c r="H2" s="130"/>
      <c r="I2" s="1"/>
    </row>
    <row r="3" spans="1:9" ht="15" customHeight="1" x14ac:dyDescent="0.35">
      <c r="A3" s="1"/>
      <c r="B3" s="131"/>
      <c r="C3" s="131"/>
      <c r="D3" s="131"/>
      <c r="E3" s="131"/>
      <c r="F3" s="131"/>
      <c r="G3" s="131"/>
      <c r="H3" s="131"/>
      <c r="I3" s="1"/>
    </row>
    <row r="4" spans="1:9" x14ac:dyDescent="0.35">
      <c r="A4" s="1"/>
      <c r="B4" s="115" t="s">
        <v>50</v>
      </c>
      <c r="C4" s="116"/>
      <c r="D4" s="116"/>
      <c r="E4" s="116"/>
      <c r="F4" s="116"/>
      <c r="G4" s="116"/>
      <c r="H4" s="117"/>
      <c r="I4" s="1"/>
    </row>
    <row r="5" spans="1:9" x14ac:dyDescent="0.35">
      <c r="A5" s="1"/>
      <c r="B5" s="118" t="s">
        <v>55</v>
      </c>
      <c r="C5" s="119"/>
      <c r="D5" s="119"/>
      <c r="E5" s="119"/>
      <c r="F5" s="120"/>
      <c r="G5" s="62">
        <v>27510582.560179096</v>
      </c>
      <c r="H5" s="14" t="s">
        <v>3</v>
      </c>
      <c r="I5" s="1"/>
    </row>
    <row r="6" spans="1:9" x14ac:dyDescent="0.35">
      <c r="A6" s="1"/>
      <c r="B6" s="118" t="s">
        <v>51</v>
      </c>
      <c r="C6" s="119"/>
      <c r="D6" s="119"/>
      <c r="E6" s="119"/>
      <c r="F6" s="120"/>
      <c r="G6" s="23">
        <f>G5*'Fane 15. Nøgletal'!C21</f>
        <v>250346.30129762978</v>
      </c>
      <c r="H6" s="14" t="s">
        <v>3</v>
      </c>
      <c r="I6" s="1"/>
    </row>
    <row r="7" spans="1:9" x14ac:dyDescent="0.35">
      <c r="A7" s="1"/>
      <c r="B7" s="33"/>
      <c r="C7" s="28"/>
      <c r="D7" s="28"/>
      <c r="E7" s="28"/>
      <c r="F7" s="28"/>
      <c r="G7" s="28"/>
      <c r="H7" s="19"/>
      <c r="I7" s="1"/>
    </row>
    <row r="8" spans="1:9" x14ac:dyDescent="0.35">
      <c r="A8" s="1"/>
      <c r="B8" s="1"/>
      <c r="C8" s="1"/>
      <c r="D8" s="1"/>
      <c r="E8" s="1"/>
      <c r="F8" s="1"/>
      <c r="G8" s="1"/>
      <c r="H8" s="1"/>
      <c r="I8" s="1"/>
    </row>
    <row r="9" spans="1:9" x14ac:dyDescent="0.35">
      <c r="A9" s="1"/>
      <c r="B9" s="115" t="s">
        <v>56</v>
      </c>
      <c r="C9" s="116"/>
      <c r="D9" s="116"/>
      <c r="E9" s="116"/>
      <c r="F9" s="116"/>
      <c r="G9" s="116"/>
      <c r="H9" s="117"/>
      <c r="I9" s="1"/>
    </row>
    <row r="10" spans="1:9" x14ac:dyDescent="0.35">
      <c r="A10" s="1"/>
      <c r="B10" s="118" t="s">
        <v>57</v>
      </c>
      <c r="C10" s="119"/>
      <c r="D10" s="119"/>
      <c r="E10" s="119"/>
      <c r="F10" s="120"/>
      <c r="G10" s="23">
        <f>(G5-G6)*(1+'Fane 15. Nøgletal'!C10)</f>
        <v>27737290.393411893</v>
      </c>
      <c r="H10" s="14" t="s">
        <v>3</v>
      </c>
      <c r="I10" s="1"/>
    </row>
    <row r="11" spans="1:9" x14ac:dyDescent="0.35">
      <c r="A11" s="1"/>
      <c r="B11" s="118" t="s">
        <v>104</v>
      </c>
      <c r="C11" s="119"/>
      <c r="D11" s="119"/>
      <c r="E11" s="119"/>
      <c r="F11" s="120"/>
      <c r="G11" s="62">
        <v>-425784.56922377524</v>
      </c>
      <c r="H11" s="14" t="s">
        <v>3</v>
      </c>
      <c r="I11" s="1"/>
    </row>
    <row r="12" spans="1:9" x14ac:dyDescent="0.35">
      <c r="A12" s="1"/>
      <c r="B12" s="124" t="s">
        <v>247</v>
      </c>
      <c r="C12" s="125"/>
      <c r="D12" s="125"/>
      <c r="E12" s="125"/>
      <c r="F12" s="126"/>
      <c r="G12" s="66">
        <v>0</v>
      </c>
      <c r="H12" s="14" t="s">
        <v>3</v>
      </c>
      <c r="I12" s="1"/>
    </row>
    <row r="13" spans="1:9" x14ac:dyDescent="0.35">
      <c r="A13" s="1"/>
      <c r="B13" s="118" t="s">
        <v>58</v>
      </c>
      <c r="C13" s="119"/>
      <c r="D13" s="119"/>
      <c r="E13" s="119"/>
      <c r="F13" s="120"/>
      <c r="G13" s="23">
        <f>SUM(G10:G12)*'Fane 15. Nøgletal'!C22</f>
        <v>483413.65308812971</v>
      </c>
      <c r="H13" s="14" t="s">
        <v>3</v>
      </c>
      <c r="I13" s="1"/>
    </row>
    <row r="14" spans="1:9" x14ac:dyDescent="0.35">
      <c r="A14" s="1"/>
      <c r="B14" s="33"/>
      <c r="C14" s="28"/>
      <c r="D14" s="28"/>
      <c r="E14" s="28"/>
      <c r="F14" s="28"/>
      <c r="G14" s="28"/>
      <c r="H14" s="19"/>
      <c r="I14" s="1"/>
    </row>
    <row r="15" spans="1:9" x14ac:dyDescent="0.35">
      <c r="A15" s="1"/>
      <c r="B15" s="1"/>
      <c r="C15" s="1"/>
      <c r="D15" s="1"/>
      <c r="E15" s="1"/>
      <c r="F15" s="1"/>
      <c r="G15" s="1"/>
      <c r="H15" s="1"/>
      <c r="I15" s="1"/>
    </row>
    <row r="16" spans="1:9" x14ac:dyDescent="0.35">
      <c r="A16" s="1"/>
      <c r="B16" s="115" t="s">
        <v>59</v>
      </c>
      <c r="C16" s="116"/>
      <c r="D16" s="116"/>
      <c r="E16" s="116"/>
      <c r="F16" s="116"/>
      <c r="G16" s="116"/>
      <c r="H16" s="117"/>
      <c r="I16" s="1"/>
    </row>
    <row r="17" spans="1:9" x14ac:dyDescent="0.35">
      <c r="A17" s="1"/>
      <c r="B17" s="118" t="s">
        <v>60</v>
      </c>
      <c r="C17" s="119"/>
      <c r="D17" s="119"/>
      <c r="E17" s="119"/>
      <c r="F17" s="120"/>
      <c r="G17" s="23">
        <f>(SUM(G10:G12)-G13)*(1+'Fane 15. Nøgletal'!C10)</f>
        <v>27297583.784094237</v>
      </c>
      <c r="H17" s="14" t="s">
        <v>3</v>
      </c>
      <c r="I17" s="1"/>
    </row>
    <row r="18" spans="1:9" x14ac:dyDescent="0.35">
      <c r="A18" s="1"/>
      <c r="B18" s="124" t="s">
        <v>248</v>
      </c>
      <c r="C18" s="125"/>
      <c r="D18" s="125"/>
      <c r="E18" s="125"/>
      <c r="F18" s="126"/>
      <c r="G18" s="62">
        <v>670957.14127800986</v>
      </c>
      <c r="H18" s="14" t="s">
        <v>3</v>
      </c>
      <c r="I18" s="1"/>
    </row>
    <row r="19" spans="1:9" x14ac:dyDescent="0.35">
      <c r="A19" s="1"/>
      <c r="B19" s="118" t="s">
        <v>61</v>
      </c>
      <c r="C19" s="119"/>
      <c r="D19" s="119"/>
      <c r="E19" s="119"/>
      <c r="F19" s="120"/>
      <c r="G19" s="23">
        <f>G17*'Fane 15. Nøgletal'!C22+G18*'Fane 15. Nøgletal'!C23</f>
        <v>489004.56010758667</v>
      </c>
      <c r="H19" s="14" t="s">
        <v>3</v>
      </c>
      <c r="I19" s="1"/>
    </row>
    <row r="20" spans="1:9" x14ac:dyDescent="0.35">
      <c r="A20" s="1"/>
      <c r="B20" s="33"/>
      <c r="C20" s="28"/>
      <c r="D20" s="28"/>
      <c r="E20" s="28"/>
      <c r="F20" s="28"/>
      <c r="G20" s="28"/>
      <c r="H20" s="19"/>
      <c r="I20" s="1"/>
    </row>
    <row r="21" spans="1:9" x14ac:dyDescent="0.35">
      <c r="A21" s="1"/>
      <c r="B21" s="1"/>
      <c r="C21" s="1"/>
      <c r="D21" s="1"/>
      <c r="E21" s="1"/>
      <c r="F21" s="1"/>
      <c r="G21" s="1"/>
      <c r="H21" s="1"/>
      <c r="I21" s="1"/>
    </row>
    <row r="22" spans="1:9" x14ac:dyDescent="0.35">
      <c r="A22" s="1"/>
      <c r="B22" s="115" t="s">
        <v>62</v>
      </c>
      <c r="C22" s="116"/>
      <c r="D22" s="116"/>
      <c r="E22" s="116"/>
      <c r="F22" s="116"/>
      <c r="G22" s="116"/>
      <c r="H22" s="117"/>
      <c r="I22" s="1"/>
    </row>
    <row r="23" spans="1:9" x14ac:dyDescent="0.35">
      <c r="A23" s="1"/>
      <c r="B23" s="118" t="s">
        <v>63</v>
      </c>
      <c r="C23" s="119"/>
      <c r="D23" s="119"/>
      <c r="E23" s="119"/>
      <c r="F23" s="120"/>
      <c r="G23" s="23">
        <f>(G17+G18-G19)*(1+'Fane 15. Nøgletal'!C12)</f>
        <v>28020883.231660377</v>
      </c>
      <c r="H23" s="14" t="s">
        <v>3</v>
      </c>
      <c r="I23" s="1"/>
    </row>
    <row r="24" spans="1:9" x14ac:dyDescent="0.35">
      <c r="A24" s="1"/>
      <c r="B24" s="124" t="s">
        <v>249</v>
      </c>
      <c r="C24" s="125"/>
      <c r="D24" s="125"/>
      <c r="E24" s="125"/>
      <c r="F24" s="126"/>
      <c r="G24" s="62">
        <v>0</v>
      </c>
      <c r="H24" s="14" t="s">
        <v>3</v>
      </c>
      <c r="I24" s="1"/>
    </row>
    <row r="25" spans="1:9" x14ac:dyDescent="0.35">
      <c r="A25" s="1"/>
      <c r="B25" s="118" t="s">
        <v>64</v>
      </c>
      <c r="C25" s="119"/>
      <c r="D25" s="119"/>
      <c r="E25" s="119"/>
      <c r="F25" s="120"/>
      <c r="G25" s="23">
        <f>(G23+G24)*'Fane 15. Nøgletal'!C24</f>
        <v>795793.08377915481</v>
      </c>
      <c r="H25" s="14" t="s">
        <v>3</v>
      </c>
      <c r="I25" s="1"/>
    </row>
    <row r="26" spans="1:9" x14ac:dyDescent="0.35">
      <c r="A26" s="1"/>
      <c r="B26" s="33"/>
      <c r="C26" s="28"/>
      <c r="D26" s="28"/>
      <c r="E26" s="28"/>
      <c r="F26" s="28"/>
      <c r="G26" s="28"/>
      <c r="H26" s="19"/>
      <c r="I26" s="1"/>
    </row>
    <row r="27" spans="1:9" x14ac:dyDescent="0.35">
      <c r="A27" s="1"/>
      <c r="B27" s="1"/>
      <c r="C27" s="1"/>
      <c r="D27" s="1"/>
      <c r="E27" s="1"/>
      <c r="F27" s="1"/>
      <c r="G27" s="1"/>
      <c r="H27" s="1"/>
      <c r="I27" s="1"/>
    </row>
    <row r="28" spans="1:9" x14ac:dyDescent="0.35">
      <c r="A28" s="1"/>
      <c r="B28" s="115" t="s">
        <v>65</v>
      </c>
      <c r="C28" s="116"/>
      <c r="D28" s="116"/>
      <c r="E28" s="116"/>
      <c r="F28" s="116"/>
      <c r="G28" s="116"/>
      <c r="H28" s="117"/>
      <c r="I28" s="1"/>
    </row>
    <row r="29" spans="1:9" x14ac:dyDescent="0.35">
      <c r="A29" s="1"/>
      <c r="B29" s="118" t="s">
        <v>66</v>
      </c>
      <c r="C29" s="119"/>
      <c r="D29" s="119"/>
      <c r="E29" s="119"/>
      <c r="F29" s="120"/>
      <c r="G29" s="23">
        <f>(G23+G24-G25)*(1+'Fane 15. Nøgletal'!C12)</f>
        <v>27761424.423794482</v>
      </c>
      <c r="H29" s="14" t="s">
        <v>3</v>
      </c>
      <c r="I29" s="1"/>
    </row>
    <row r="30" spans="1:9" x14ac:dyDescent="0.35">
      <c r="A30" s="1"/>
      <c r="B30" s="118" t="s">
        <v>250</v>
      </c>
      <c r="C30" s="119"/>
      <c r="D30" s="119"/>
      <c r="E30" s="119"/>
      <c r="F30" s="120"/>
      <c r="G30" s="62">
        <v>4840885.6913717994</v>
      </c>
      <c r="H30" s="14" t="s">
        <v>3</v>
      </c>
      <c r="I30" s="1"/>
    </row>
    <row r="31" spans="1:9" x14ac:dyDescent="0.35">
      <c r="A31" s="1"/>
      <c r="B31" s="118" t="s">
        <v>67</v>
      </c>
      <c r="C31" s="119"/>
      <c r="D31" s="119"/>
      <c r="E31" s="119"/>
      <c r="F31" s="120"/>
      <c r="G31" s="23">
        <f>G29*'Fane 15. Nøgletal'!C24+G30*'Fane 15. Nøgletal'!C25</f>
        <v>921548.8101484878</v>
      </c>
      <c r="H31" s="14" t="s">
        <v>3</v>
      </c>
      <c r="I31" s="1"/>
    </row>
    <row r="32" spans="1:9" x14ac:dyDescent="0.35">
      <c r="A32" s="1"/>
      <c r="B32" s="33"/>
      <c r="C32" s="28"/>
      <c r="D32" s="28"/>
      <c r="E32" s="28"/>
      <c r="F32" s="28"/>
      <c r="G32" s="28"/>
      <c r="H32" s="19"/>
      <c r="I32" s="1"/>
    </row>
    <row r="33" spans="1:9" x14ac:dyDescent="0.35">
      <c r="A33" s="1"/>
      <c r="B33" s="1"/>
      <c r="C33" s="1"/>
      <c r="D33" s="1"/>
      <c r="E33" s="1"/>
      <c r="F33" s="1"/>
      <c r="G33" s="1"/>
      <c r="H33" s="1"/>
      <c r="I33" s="1"/>
    </row>
    <row r="34" spans="1:9" x14ac:dyDescent="0.35">
      <c r="A34" s="1"/>
      <c r="B34" s="115" t="s">
        <v>130</v>
      </c>
      <c r="C34" s="116"/>
      <c r="D34" s="116"/>
      <c r="E34" s="116"/>
      <c r="F34" s="116"/>
      <c r="G34" s="116"/>
      <c r="H34" s="117"/>
      <c r="I34" s="1"/>
    </row>
    <row r="35" spans="1:9" x14ac:dyDescent="0.35">
      <c r="A35" s="1"/>
      <c r="B35" s="118" t="s">
        <v>215</v>
      </c>
      <c r="C35" s="119"/>
      <c r="D35" s="119"/>
      <c r="E35" s="119"/>
      <c r="F35" s="120"/>
      <c r="G35" s="23">
        <f>(G29+G30-G31)*(1+'Fane 15. Nøgletal'!C14)</f>
        <v>31785307.817324352</v>
      </c>
      <c r="H35" s="14" t="s">
        <v>3</v>
      </c>
      <c r="I35" s="1"/>
    </row>
    <row r="36" spans="1:9" x14ac:dyDescent="0.35">
      <c r="A36" s="1"/>
      <c r="B36" s="118" t="s">
        <v>251</v>
      </c>
      <c r="C36" s="119"/>
      <c r="D36" s="119"/>
      <c r="E36" s="119"/>
      <c r="F36" s="120"/>
      <c r="G36" s="62">
        <v>550891.96821386018</v>
      </c>
      <c r="H36" s="14" t="s">
        <v>3</v>
      </c>
      <c r="I36" s="1"/>
    </row>
    <row r="37" spans="1:9" x14ac:dyDescent="0.35">
      <c r="A37" s="1"/>
      <c r="B37" s="118" t="s">
        <v>131</v>
      </c>
      <c r="C37" s="119"/>
      <c r="D37" s="119"/>
      <c r="E37" s="119"/>
      <c r="F37" s="120"/>
      <c r="G37" s="23">
        <f>(G35+G36)*'Fane 15. Nøgletal'!C26</f>
        <v>478575.75682596554</v>
      </c>
      <c r="H37" s="14" t="s">
        <v>3</v>
      </c>
      <c r="I37" s="1"/>
    </row>
    <row r="38" spans="1:9" x14ac:dyDescent="0.35">
      <c r="A38" s="1"/>
      <c r="B38" s="33"/>
      <c r="C38" s="28"/>
      <c r="D38" s="28"/>
      <c r="E38" s="28"/>
      <c r="F38" s="28"/>
      <c r="G38" s="28"/>
      <c r="H38" s="19"/>
      <c r="I38" s="1"/>
    </row>
    <row r="39" spans="1:9" x14ac:dyDescent="0.35">
      <c r="A39" s="1"/>
      <c r="B39" s="1"/>
      <c r="C39" s="1"/>
      <c r="D39" s="1"/>
      <c r="E39" s="1"/>
      <c r="F39" s="1"/>
      <c r="G39" s="1"/>
      <c r="H39" s="1"/>
      <c r="I39" s="1"/>
    </row>
    <row r="40" spans="1:9" x14ac:dyDescent="0.35">
      <c r="A40" s="1"/>
      <c r="B40" s="115" t="s">
        <v>151</v>
      </c>
      <c r="C40" s="116"/>
      <c r="D40" s="116"/>
      <c r="E40" s="116"/>
      <c r="F40" s="116"/>
      <c r="G40" s="116"/>
      <c r="H40" s="117"/>
      <c r="I40" s="1"/>
    </row>
    <row r="41" spans="1:9" x14ac:dyDescent="0.35">
      <c r="A41" s="1"/>
      <c r="B41" s="118" t="s">
        <v>216</v>
      </c>
      <c r="C41" s="119"/>
      <c r="D41" s="119"/>
      <c r="E41" s="119"/>
      <c r="F41" s="120"/>
      <c r="G41" s="23">
        <f>(G35+G36-G37)*(1+'Fane 15. Nøgletal'!C14)</f>
        <v>31962754.188007001</v>
      </c>
      <c r="H41" s="14" t="s">
        <v>3</v>
      </c>
      <c r="I41" s="1"/>
    </row>
    <row r="42" spans="1:9" x14ac:dyDescent="0.35">
      <c r="A42" s="1"/>
      <c r="B42" s="40" t="s">
        <v>156</v>
      </c>
      <c r="C42" s="80"/>
      <c r="D42" s="80"/>
      <c r="E42" s="80"/>
      <c r="F42" s="81"/>
      <c r="G42" s="23">
        <v>99116.360943840016</v>
      </c>
      <c r="H42" s="14" t="s">
        <v>3</v>
      </c>
      <c r="I42" s="1"/>
    </row>
    <row r="43" spans="1:9" x14ac:dyDescent="0.35">
      <c r="A43" s="1"/>
      <c r="B43" s="118" t="s">
        <v>132</v>
      </c>
      <c r="C43" s="119"/>
      <c r="D43" s="119"/>
      <c r="E43" s="119"/>
      <c r="F43" s="120"/>
      <c r="G43" s="23">
        <f>(G41)*'Fane 15. Nøgletal'!C26+G42*'Fane 15. Nøgletal'!C27</f>
        <v>473048.76198250364</v>
      </c>
      <c r="H43" s="14" t="s">
        <v>3</v>
      </c>
      <c r="I43" s="1"/>
    </row>
    <row r="44" spans="1:9" x14ac:dyDescent="0.35">
      <c r="A44" s="1"/>
      <c r="B44" s="33"/>
      <c r="C44" s="28"/>
      <c r="D44" s="28"/>
      <c r="E44" s="28"/>
      <c r="F44" s="28"/>
      <c r="G44" s="28"/>
      <c r="H44" s="19"/>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row r="51" spans="1:9" x14ac:dyDescent="0.35">
      <c r="A51" s="1"/>
      <c r="B51" s="1"/>
      <c r="C51" s="1"/>
      <c r="D51" s="1"/>
      <c r="E51" s="1"/>
      <c r="F51" s="1"/>
      <c r="G51" s="1"/>
      <c r="H51" s="1"/>
      <c r="I51" s="1"/>
    </row>
    <row r="52" spans="1:9" x14ac:dyDescent="0.35">
      <c r="A52" s="1"/>
      <c r="B52" s="115" t="s">
        <v>259</v>
      </c>
      <c r="C52" s="116"/>
      <c r="D52" s="116"/>
      <c r="E52" s="116"/>
      <c r="F52" s="116"/>
      <c r="G52" s="116"/>
      <c r="H52" s="117"/>
      <c r="I52" s="1"/>
    </row>
    <row r="53" spans="1:9" x14ac:dyDescent="0.35">
      <c r="A53" s="1"/>
      <c r="B53" s="118" t="s">
        <v>217</v>
      </c>
      <c r="C53" s="119"/>
      <c r="D53" s="119"/>
      <c r="E53" s="119"/>
      <c r="F53" s="120"/>
      <c r="G53" s="23">
        <f>(G41+G42-G43)*(1+'Fane 15. Nøgletal'!C16)</f>
        <v>34141198.587355375</v>
      </c>
      <c r="H53" s="14" t="s">
        <v>3</v>
      </c>
      <c r="I53" s="1"/>
    </row>
    <row r="54" spans="1:9" x14ac:dyDescent="0.35">
      <c r="A54" s="1"/>
      <c r="B54" s="79" t="s">
        <v>195</v>
      </c>
      <c r="C54" s="80"/>
      <c r="D54" s="80"/>
      <c r="E54" s="80"/>
      <c r="F54" s="81"/>
      <c r="G54" s="23">
        <f>('Fane 2.1. Økonomisk ramme 2024'!C11+'Fane 2.1. Økonomisk ramme 2024'!C13+'Fane 2.1. Økonomisk ramme 2024'!C15)*(1+'Fane 15. Nøgletal'!C16)</f>
        <v>2834697.7706879997</v>
      </c>
      <c r="H54" s="14" t="s">
        <v>3</v>
      </c>
      <c r="I54" s="1"/>
    </row>
    <row r="55" spans="1:9" x14ac:dyDescent="0.35">
      <c r="A55" s="1"/>
      <c r="B55" s="118" t="s">
        <v>218</v>
      </c>
      <c r="C55" s="119"/>
      <c r="D55" s="119"/>
      <c r="E55" s="119"/>
      <c r="F55" s="120"/>
      <c r="G55" s="23">
        <f>SUM(G53:G54)*'Fane 15. Nøgletal'!C28</f>
        <v>0</v>
      </c>
      <c r="H55" s="14" t="s">
        <v>3</v>
      </c>
      <c r="I55" s="1"/>
    </row>
    <row r="56" spans="1:9" x14ac:dyDescent="0.35">
      <c r="A56" s="1"/>
      <c r="B56" s="33"/>
      <c r="C56" s="28"/>
      <c r="D56" s="28"/>
      <c r="E56" s="28"/>
      <c r="F56" s="28"/>
      <c r="G56" s="28"/>
      <c r="H56" s="19"/>
      <c r="I56" s="1"/>
    </row>
    <row r="57" spans="1:9" x14ac:dyDescent="0.35">
      <c r="A57" s="1"/>
      <c r="B57" s="1"/>
      <c r="C57" s="1"/>
      <c r="D57" s="1"/>
      <c r="E57" s="1"/>
      <c r="F57" s="1"/>
      <c r="G57" s="1"/>
      <c r="H57" s="1"/>
      <c r="I57" s="1"/>
    </row>
    <row r="58" spans="1:9" x14ac:dyDescent="0.35">
      <c r="A58" s="1"/>
      <c r="B58" s="115" t="s">
        <v>258</v>
      </c>
      <c r="C58" s="116"/>
      <c r="D58" s="116"/>
      <c r="E58" s="116"/>
      <c r="F58" s="116"/>
      <c r="G58" s="116"/>
      <c r="H58" s="117"/>
      <c r="I58" s="1"/>
    </row>
    <row r="59" spans="1:9" x14ac:dyDescent="0.35">
      <c r="A59" s="1"/>
      <c r="B59" s="118" t="s">
        <v>219</v>
      </c>
      <c r="C59" s="119"/>
      <c r="D59" s="119"/>
      <c r="E59" s="119"/>
      <c r="F59" s="120"/>
      <c r="G59" s="23">
        <f>(G53+G54-G55)*(1+'Fane 15. Nøgletal'!C16)</f>
        <v>39963548.783773273</v>
      </c>
      <c r="H59" s="14" t="s">
        <v>3</v>
      </c>
      <c r="I59" s="1"/>
    </row>
    <row r="60" spans="1:9" x14ac:dyDescent="0.35">
      <c r="A60" s="1"/>
      <c r="B60" s="118" t="s">
        <v>220</v>
      </c>
      <c r="C60" s="119"/>
      <c r="D60" s="119"/>
      <c r="E60" s="119"/>
      <c r="F60" s="120"/>
      <c r="G60" s="23">
        <f>(G59)*'Fane 15. Nøgletal'!C28</f>
        <v>0</v>
      </c>
      <c r="H60" s="14" t="s">
        <v>3</v>
      </c>
      <c r="I60" s="1"/>
    </row>
    <row r="61" spans="1:9" x14ac:dyDescent="0.35">
      <c r="A61" s="1"/>
      <c r="B61" s="33"/>
      <c r="C61" s="28"/>
      <c r="D61" s="28"/>
      <c r="E61" s="28"/>
      <c r="F61" s="28"/>
      <c r="G61" s="28"/>
      <c r="H61" s="19"/>
      <c r="I61" s="1"/>
    </row>
    <row r="62" spans="1:9" x14ac:dyDescent="0.35">
      <c r="A62" s="1"/>
      <c r="B62" s="1"/>
      <c r="C62" s="1"/>
      <c r="D62" s="1"/>
      <c r="E62" s="1"/>
      <c r="F62" s="1"/>
      <c r="G62" s="1"/>
      <c r="H62" s="1"/>
      <c r="I62" s="1"/>
    </row>
    <row r="63" spans="1:9" x14ac:dyDescent="0.35">
      <c r="A63" s="1"/>
      <c r="B63" s="115" t="s">
        <v>141</v>
      </c>
      <c r="C63" s="116"/>
      <c r="D63" s="116"/>
      <c r="E63" s="116"/>
      <c r="F63" s="116"/>
      <c r="G63" s="116"/>
      <c r="H63" s="117"/>
      <c r="I63" s="1"/>
    </row>
    <row r="64" spans="1:9" x14ac:dyDescent="0.35">
      <c r="A64" s="1"/>
      <c r="B64" s="118" t="s">
        <v>221</v>
      </c>
      <c r="C64" s="119"/>
      <c r="D64" s="119"/>
      <c r="E64" s="119"/>
      <c r="F64" s="120"/>
      <c r="G64" s="23">
        <f>(G59-G60)*(1+'Fane 15. Nøgletal'!C16)</f>
        <v>43192603.525502153</v>
      </c>
      <c r="H64" s="14" t="s">
        <v>3</v>
      </c>
      <c r="I64" s="1"/>
    </row>
    <row r="65" spans="1:9" x14ac:dyDescent="0.35">
      <c r="A65" s="1"/>
      <c r="B65" s="118" t="s">
        <v>222</v>
      </c>
      <c r="C65" s="119"/>
      <c r="D65" s="119"/>
      <c r="E65" s="119"/>
      <c r="F65" s="120"/>
      <c r="G65" s="23">
        <f>(G64)*'Fane 15. Nøgletal'!C28</f>
        <v>0</v>
      </c>
      <c r="H65" s="14" t="s">
        <v>3</v>
      </c>
      <c r="I65" s="1"/>
    </row>
    <row r="66" spans="1:9" x14ac:dyDescent="0.35">
      <c r="A66" s="1"/>
      <c r="B66" s="33"/>
      <c r="C66" s="28"/>
      <c r="D66" s="28"/>
      <c r="E66" s="28"/>
      <c r="F66" s="28"/>
      <c r="G66" s="28"/>
      <c r="H66" s="19"/>
      <c r="I66" s="1"/>
    </row>
    <row r="67" spans="1:9" x14ac:dyDescent="0.35">
      <c r="A67" s="1"/>
      <c r="B67" s="1"/>
      <c r="C67" s="1"/>
      <c r="D67" s="1"/>
      <c r="E67" s="1"/>
      <c r="F67" s="1"/>
      <c r="G67" s="1"/>
      <c r="H67" s="1"/>
      <c r="I67" s="1"/>
    </row>
    <row r="68" spans="1:9" x14ac:dyDescent="0.35">
      <c r="A68" s="1"/>
      <c r="B68" s="115" t="s">
        <v>223</v>
      </c>
      <c r="C68" s="116"/>
      <c r="D68" s="116"/>
      <c r="E68" s="116"/>
      <c r="F68" s="116"/>
      <c r="G68" s="116"/>
      <c r="H68" s="117"/>
      <c r="I68" s="1"/>
    </row>
    <row r="69" spans="1:9" x14ac:dyDescent="0.35">
      <c r="A69" s="1"/>
      <c r="B69" s="118" t="s">
        <v>221</v>
      </c>
      <c r="C69" s="119"/>
      <c r="D69" s="119"/>
      <c r="E69" s="119"/>
      <c r="F69" s="120"/>
      <c r="G69" s="23">
        <f>(G64-G65)*(1+'Fane 15. Nøgletal'!C16)</f>
        <v>46682565.890362725</v>
      </c>
      <c r="H69" s="14" t="s">
        <v>3</v>
      </c>
      <c r="I69" s="1"/>
    </row>
    <row r="70" spans="1:9" x14ac:dyDescent="0.35">
      <c r="A70" s="1"/>
      <c r="B70" s="118" t="s">
        <v>222</v>
      </c>
      <c r="C70" s="119"/>
      <c r="D70" s="119"/>
      <c r="E70" s="119"/>
      <c r="F70" s="120"/>
      <c r="G70" s="23">
        <f>(G69)*'Fane 15. Nøgletal'!C28</f>
        <v>0</v>
      </c>
      <c r="H70" s="14" t="s">
        <v>3</v>
      </c>
      <c r="I70" s="1"/>
    </row>
    <row r="71" spans="1:9" x14ac:dyDescent="0.35">
      <c r="A71" s="1"/>
      <c r="B71" s="33"/>
      <c r="C71" s="28"/>
      <c r="D71" s="28"/>
      <c r="E71" s="28"/>
      <c r="F71" s="28"/>
      <c r="G71" s="28"/>
      <c r="H71" s="19"/>
      <c r="I71" s="1"/>
    </row>
    <row r="72" spans="1:9" x14ac:dyDescent="0.35">
      <c r="A72" s="1"/>
      <c r="B72" s="1"/>
      <c r="C72" s="1"/>
      <c r="D72" s="1"/>
      <c r="E72" s="1"/>
      <c r="F72" s="1"/>
      <c r="G72" s="1"/>
      <c r="H72" s="1"/>
      <c r="I72" s="1"/>
    </row>
    <row r="73" spans="1:9" x14ac:dyDescent="0.35">
      <c r="A73" s="1"/>
      <c r="B73" s="1"/>
      <c r="C73" s="1"/>
      <c r="D73" s="1"/>
      <c r="E73" s="1"/>
      <c r="F73" s="1"/>
      <c r="G73" s="1"/>
      <c r="H73" s="1"/>
      <c r="I73" s="1"/>
    </row>
    <row r="74" spans="1:9" x14ac:dyDescent="0.35">
      <c r="A74" s="1"/>
      <c r="B74" s="1"/>
      <c r="C74" s="1"/>
      <c r="D74" s="1"/>
      <c r="E74" s="1"/>
      <c r="F74" s="1"/>
      <c r="G74" s="1"/>
      <c r="H74" s="1"/>
      <c r="I74" s="1"/>
    </row>
    <row r="75" spans="1:9" x14ac:dyDescent="0.35">
      <c r="A75" s="60"/>
      <c r="B75" s="60"/>
      <c r="C75" s="60"/>
      <c r="D75" s="60"/>
      <c r="E75" s="60"/>
      <c r="F75" s="60"/>
      <c r="G75" s="60"/>
      <c r="H75" s="60"/>
      <c r="I75" s="60"/>
    </row>
    <row r="76" spans="1:9" x14ac:dyDescent="0.35">
      <c r="A76" s="60"/>
      <c r="B76" s="60"/>
      <c r="C76" s="60"/>
      <c r="D76" s="60"/>
      <c r="E76" s="60"/>
      <c r="F76" s="60"/>
      <c r="G76" s="60"/>
      <c r="H76" s="60"/>
      <c r="I76" s="60"/>
    </row>
    <row r="77" spans="1:9" x14ac:dyDescent="0.35">
      <c r="A77" s="60"/>
      <c r="B77" s="60"/>
      <c r="C77" s="60"/>
      <c r="D77" s="60"/>
      <c r="E77" s="60"/>
      <c r="F77" s="60"/>
      <c r="G77" s="60"/>
      <c r="H77" s="60"/>
      <c r="I77" s="60"/>
    </row>
    <row r="78" spans="1:9" x14ac:dyDescent="0.35">
      <c r="A78" s="60"/>
      <c r="B78" s="60"/>
      <c r="C78" s="60"/>
      <c r="D78" s="60"/>
      <c r="E78" s="60"/>
      <c r="F78" s="60"/>
      <c r="G78" s="60"/>
      <c r="H78" s="60"/>
      <c r="I78" s="60"/>
    </row>
    <row r="79" spans="1:9" x14ac:dyDescent="0.35">
      <c r="A79" s="60"/>
      <c r="B79" s="60"/>
      <c r="C79" s="60"/>
      <c r="D79" s="60"/>
      <c r="E79" s="60"/>
      <c r="F79" s="60"/>
      <c r="G79" s="60"/>
      <c r="H79" s="60"/>
      <c r="I79" s="60"/>
    </row>
    <row r="80" spans="1:9" x14ac:dyDescent="0.35">
      <c r="A80" s="60"/>
      <c r="B80" s="60"/>
      <c r="C80" s="60"/>
      <c r="D80" s="60"/>
      <c r="E80" s="60"/>
      <c r="F80" s="60"/>
      <c r="G80" s="60"/>
      <c r="H80" s="60"/>
      <c r="I80" s="60"/>
    </row>
    <row r="81" spans="1:9" x14ac:dyDescent="0.35">
      <c r="A81" s="60"/>
      <c r="B81" s="60"/>
      <c r="C81" s="60"/>
      <c r="D81" s="60"/>
      <c r="E81" s="60"/>
      <c r="F81" s="60"/>
      <c r="G81" s="60"/>
      <c r="H81" s="60"/>
      <c r="I81" s="60"/>
    </row>
    <row r="82" spans="1:9" x14ac:dyDescent="0.35">
      <c r="A82" s="60"/>
      <c r="B82" s="60"/>
      <c r="C82" s="60"/>
      <c r="D82" s="60"/>
      <c r="E82" s="60"/>
      <c r="F82" s="60"/>
      <c r="G82" s="60"/>
      <c r="H82" s="60"/>
      <c r="I82" s="60"/>
    </row>
    <row r="83" spans="1:9" x14ac:dyDescent="0.35">
      <c r="A83" s="60"/>
      <c r="B83" s="60"/>
      <c r="C83" s="60"/>
      <c r="D83" s="60"/>
      <c r="E83" s="60"/>
      <c r="F83" s="60"/>
      <c r="G83" s="60"/>
      <c r="H83" s="60"/>
      <c r="I83" s="60"/>
    </row>
    <row r="84" spans="1:9" x14ac:dyDescent="0.35">
      <c r="A84" s="60"/>
      <c r="B84" s="60"/>
      <c r="C84" s="60"/>
      <c r="D84" s="60"/>
      <c r="E84" s="60"/>
      <c r="F84" s="60"/>
      <c r="G84" s="60"/>
      <c r="H84" s="60"/>
      <c r="I84" s="60"/>
    </row>
    <row r="85" spans="1:9" x14ac:dyDescent="0.35">
      <c r="A85" s="60"/>
      <c r="B85" s="60"/>
      <c r="C85" s="60"/>
      <c r="D85" s="60"/>
      <c r="E85" s="60"/>
      <c r="F85" s="60"/>
      <c r="G85" s="60"/>
      <c r="H85" s="60"/>
      <c r="I85" s="60"/>
    </row>
    <row r="86" spans="1:9" x14ac:dyDescent="0.35">
      <c r="A86" s="60"/>
      <c r="B86" s="60"/>
      <c r="C86" s="60"/>
      <c r="D86" s="60"/>
      <c r="E86" s="60"/>
      <c r="F86" s="60"/>
      <c r="G86" s="60"/>
      <c r="H86" s="60"/>
      <c r="I86" s="60"/>
    </row>
    <row r="87" spans="1:9" x14ac:dyDescent="0.35">
      <c r="A87" s="60"/>
      <c r="B87" s="60"/>
      <c r="C87" s="60"/>
      <c r="D87" s="60"/>
      <c r="E87" s="60"/>
      <c r="F87" s="60"/>
      <c r="G87" s="60"/>
      <c r="H87" s="60"/>
      <c r="I87" s="60"/>
    </row>
    <row r="88" spans="1:9" x14ac:dyDescent="0.35">
      <c r="A88" s="60"/>
      <c r="B88" s="60"/>
      <c r="C88" s="60"/>
      <c r="D88" s="60"/>
      <c r="E88" s="60"/>
      <c r="F88" s="60"/>
      <c r="G88" s="60"/>
      <c r="H88" s="60"/>
      <c r="I88" s="60"/>
    </row>
    <row r="89" spans="1:9" x14ac:dyDescent="0.35">
      <c r="A89" s="60"/>
      <c r="B89" s="60"/>
      <c r="C89" s="60"/>
      <c r="D89" s="60"/>
      <c r="E89" s="60"/>
      <c r="F89" s="60"/>
      <c r="G89" s="60"/>
      <c r="H89" s="60"/>
      <c r="I89" s="60"/>
    </row>
    <row r="90" spans="1:9" x14ac:dyDescent="0.35">
      <c r="A90" s="60"/>
      <c r="B90" s="60"/>
      <c r="C90" s="60"/>
      <c r="D90" s="60"/>
      <c r="E90" s="60"/>
      <c r="F90" s="60"/>
      <c r="G90" s="60"/>
      <c r="H90" s="60"/>
      <c r="I90" s="60"/>
    </row>
    <row r="91" spans="1:9" x14ac:dyDescent="0.35">
      <c r="A91" s="60"/>
      <c r="B91" s="60"/>
      <c r="C91" s="60"/>
      <c r="D91" s="60"/>
      <c r="E91" s="60"/>
      <c r="F91" s="60"/>
      <c r="G91" s="60"/>
      <c r="H91" s="60"/>
      <c r="I91" s="60"/>
    </row>
    <row r="92" spans="1:9" x14ac:dyDescent="0.35">
      <c r="A92" s="60"/>
      <c r="B92" s="60"/>
      <c r="C92" s="60"/>
      <c r="D92" s="60"/>
      <c r="E92" s="60"/>
      <c r="F92" s="60"/>
      <c r="G92" s="60"/>
      <c r="H92" s="60"/>
      <c r="I92" s="60"/>
    </row>
    <row r="93" spans="1:9" x14ac:dyDescent="0.35">
      <c r="A93" s="60"/>
      <c r="B93" s="60"/>
      <c r="C93" s="60"/>
      <c r="D93" s="60"/>
      <c r="E93" s="60"/>
      <c r="F93" s="60"/>
      <c r="G93" s="60"/>
      <c r="H93" s="60"/>
      <c r="I93" s="60"/>
    </row>
    <row r="94" spans="1:9" x14ac:dyDescent="0.35">
      <c r="A94" s="60"/>
      <c r="B94" s="60"/>
      <c r="C94" s="60"/>
      <c r="D94" s="60"/>
      <c r="E94" s="60"/>
      <c r="F94" s="60"/>
      <c r="G94" s="60"/>
      <c r="H94" s="60"/>
      <c r="I94" s="60"/>
    </row>
    <row r="95" spans="1:9" x14ac:dyDescent="0.35">
      <c r="A95" s="60"/>
      <c r="B95" s="60"/>
      <c r="C95" s="60"/>
      <c r="D95" s="60"/>
      <c r="E95" s="60"/>
      <c r="F95" s="60"/>
      <c r="G95" s="60"/>
      <c r="H95" s="60"/>
      <c r="I95" s="60"/>
    </row>
    <row r="96" spans="1:9" x14ac:dyDescent="0.35">
      <c r="A96" s="60"/>
      <c r="B96" s="60"/>
      <c r="C96" s="60"/>
      <c r="D96" s="60"/>
      <c r="E96" s="60"/>
      <c r="F96" s="60"/>
      <c r="G96" s="60"/>
      <c r="H96" s="60"/>
      <c r="I96" s="60"/>
    </row>
    <row r="97" spans="1:9" x14ac:dyDescent="0.35">
      <c r="A97" s="60"/>
      <c r="B97" s="60"/>
      <c r="C97" s="60"/>
      <c r="D97" s="60"/>
      <c r="E97" s="60"/>
      <c r="F97" s="60"/>
      <c r="G97" s="60"/>
      <c r="H97" s="60"/>
      <c r="I97" s="60"/>
    </row>
    <row r="98" spans="1:9" x14ac:dyDescent="0.35">
      <c r="A98" s="60"/>
      <c r="B98" s="60"/>
      <c r="C98" s="60"/>
      <c r="D98" s="60"/>
      <c r="E98" s="60"/>
      <c r="F98" s="60"/>
      <c r="G98" s="60"/>
      <c r="H98" s="60"/>
      <c r="I98" s="60"/>
    </row>
    <row r="99" spans="1:9" x14ac:dyDescent="0.35">
      <c r="A99" s="60"/>
      <c r="B99" s="60"/>
      <c r="C99" s="60"/>
      <c r="D99" s="60"/>
      <c r="E99" s="60"/>
      <c r="F99" s="60"/>
      <c r="G99" s="60"/>
      <c r="H99" s="60"/>
      <c r="I99" s="60"/>
    </row>
    <row r="100" spans="1:9" x14ac:dyDescent="0.35">
      <c r="A100" s="60"/>
      <c r="B100" s="60"/>
      <c r="C100" s="60"/>
      <c r="D100" s="60"/>
      <c r="E100" s="60"/>
      <c r="F100" s="60"/>
      <c r="G100" s="60"/>
      <c r="H100" s="60"/>
      <c r="I100" s="60"/>
    </row>
  </sheetData>
  <sheetProtection algorithmName="SHA-512" hashValue="VOUr2k/AEvuKQ4nO78BuoAi10GrryDIIKZIAiE1Ut6pfPK5yvU9VSFwuJUUogYVUbNS+oDtvuwEkFk9pr6sBHQ==" saltValue="6WMSSdwc9to2Rscq8Teasg==" spinCount="100000" sheet="1" objects="1" scenarios="1"/>
  <mergeCells count="40">
    <mergeCell ref="B68:H68"/>
    <mergeCell ref="B69:F69"/>
    <mergeCell ref="B70:F70"/>
    <mergeCell ref="B63:H63"/>
    <mergeCell ref="B64:F64"/>
    <mergeCell ref="B65:F65"/>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8:H58"/>
    <mergeCell ref="B59:F59"/>
    <mergeCell ref="B60:F60"/>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796875" defaultRowHeight="14.5" x14ac:dyDescent="0.35"/>
  <cols>
    <col min="1" max="1" width="7.81640625" style="2" customWidth="1"/>
    <col min="2" max="5" width="9.1796875" style="2"/>
    <col min="6" max="6" width="19.81640625" style="2" customWidth="1"/>
    <col min="7" max="7" width="10.26953125" style="2" customWidth="1"/>
    <col min="8" max="8" width="7.81640625" style="2" customWidth="1"/>
    <col min="9" max="16384" width="9.1796875" style="2"/>
  </cols>
  <sheetData>
    <row r="1" spans="1:8" x14ac:dyDescent="0.35">
      <c r="A1" s="1"/>
      <c r="B1" s="1"/>
      <c r="C1" s="1"/>
      <c r="D1" s="1"/>
      <c r="E1" s="1"/>
      <c r="F1" s="1"/>
      <c r="G1" s="1"/>
      <c r="H1" s="1"/>
    </row>
    <row r="2" spans="1:8" x14ac:dyDescent="0.35">
      <c r="A2" s="1"/>
      <c r="B2" s="1"/>
      <c r="C2" s="1"/>
      <c r="D2" s="1"/>
      <c r="E2" s="1"/>
      <c r="F2" s="1"/>
      <c r="G2" s="1"/>
      <c r="H2" s="1"/>
    </row>
    <row r="3" spans="1:8" ht="15" customHeight="1" x14ac:dyDescent="0.35">
      <c r="A3" s="1"/>
      <c r="B3" s="111" t="s">
        <v>76</v>
      </c>
      <c r="C3" s="111"/>
      <c r="D3" s="111"/>
      <c r="E3" s="111"/>
      <c r="F3" s="111"/>
      <c r="G3" s="111"/>
      <c r="H3" s="1"/>
    </row>
    <row r="4" spans="1:8" ht="15" customHeight="1" x14ac:dyDescent="0.35">
      <c r="A4" s="1"/>
      <c r="B4" s="111"/>
      <c r="C4" s="111"/>
      <c r="D4" s="111"/>
      <c r="E4" s="111"/>
      <c r="F4" s="111"/>
      <c r="G4" s="111"/>
      <c r="H4" s="1"/>
    </row>
    <row r="5" spans="1:8" x14ac:dyDescent="0.35">
      <c r="A5" s="1"/>
      <c r="B5" s="1"/>
      <c r="C5" s="1"/>
      <c r="D5" s="1"/>
      <c r="E5" s="1"/>
      <c r="F5" s="1"/>
      <c r="G5" s="1"/>
      <c r="H5" s="1"/>
    </row>
    <row r="6" spans="1:8" x14ac:dyDescent="0.35">
      <c r="A6" s="1"/>
      <c r="B6" s="1"/>
      <c r="C6" s="1"/>
      <c r="D6" s="1"/>
      <c r="E6" s="1"/>
      <c r="F6" s="1"/>
      <c r="G6" s="1"/>
      <c r="H6" s="1"/>
    </row>
    <row r="7" spans="1:8" x14ac:dyDescent="0.35">
      <c r="A7" s="1"/>
      <c r="B7" s="1"/>
      <c r="C7" s="1"/>
      <c r="D7" s="1"/>
      <c r="E7" s="1"/>
      <c r="F7" s="1"/>
      <c r="G7" s="1"/>
      <c r="H7" s="1"/>
    </row>
    <row r="8" spans="1:8" x14ac:dyDescent="0.35">
      <c r="A8" s="1"/>
      <c r="B8" s="115" t="s">
        <v>10</v>
      </c>
      <c r="C8" s="116"/>
      <c r="D8" s="116"/>
      <c r="E8" s="116"/>
      <c r="F8" s="116"/>
      <c r="G8" s="117"/>
      <c r="H8" s="1"/>
    </row>
    <row r="9" spans="1:8" x14ac:dyDescent="0.35">
      <c r="A9" s="1"/>
      <c r="B9" s="118" t="s">
        <v>271</v>
      </c>
      <c r="C9" s="119"/>
      <c r="D9" s="119"/>
      <c r="E9" s="119"/>
      <c r="F9" s="120"/>
      <c r="G9" s="22">
        <v>0</v>
      </c>
      <c r="H9" s="1"/>
    </row>
    <row r="10" spans="1:8" x14ac:dyDescent="0.35">
      <c r="A10" s="1"/>
      <c r="B10" s="33"/>
      <c r="C10" s="28"/>
      <c r="D10" s="28"/>
      <c r="E10" s="28"/>
      <c r="F10" s="28"/>
      <c r="G10" s="19"/>
      <c r="H10" s="1"/>
    </row>
    <row r="11" spans="1:8" ht="33" customHeight="1" x14ac:dyDescent="0.35">
      <c r="A11" s="1"/>
      <c r="B11" s="132" t="s">
        <v>264</v>
      </c>
      <c r="C11" s="132"/>
      <c r="D11" s="132"/>
      <c r="E11" s="132"/>
      <c r="F11" s="132"/>
      <c r="G11" s="132"/>
      <c r="H11" s="1"/>
    </row>
    <row r="12" spans="1:8" x14ac:dyDescent="0.35">
      <c r="A12" s="1"/>
      <c r="B12" s="1"/>
      <c r="C12" s="1"/>
      <c r="D12" s="1"/>
      <c r="E12" s="1"/>
      <c r="F12" s="1"/>
      <c r="G12" s="1"/>
      <c r="H12" s="1"/>
    </row>
    <row r="13" spans="1:8" x14ac:dyDescent="0.35">
      <c r="A13" s="1"/>
      <c r="B13" s="1"/>
      <c r="C13" s="1"/>
      <c r="D13" s="1"/>
      <c r="E13" s="1"/>
      <c r="F13" s="1"/>
      <c r="G13" s="1"/>
      <c r="H13" s="1"/>
    </row>
    <row r="14" spans="1:8" x14ac:dyDescent="0.35">
      <c r="A14" s="1"/>
      <c r="B14" s="1"/>
      <c r="C14" s="1"/>
      <c r="D14" s="1"/>
      <c r="E14" s="1"/>
      <c r="F14" s="1"/>
      <c r="G14" s="1"/>
      <c r="H14" s="1"/>
    </row>
    <row r="15" spans="1:8" x14ac:dyDescent="0.35">
      <c r="A15" s="1"/>
      <c r="B15" s="1"/>
      <c r="C15" s="1"/>
      <c r="D15" s="1"/>
      <c r="E15" s="1"/>
      <c r="F15" s="1"/>
      <c r="G15" s="1"/>
      <c r="H15" s="1"/>
    </row>
    <row r="16" spans="1:8" x14ac:dyDescent="0.35">
      <c r="A16" s="1"/>
      <c r="B16" s="1"/>
      <c r="C16" s="1"/>
      <c r="D16" s="1"/>
      <c r="E16" s="1"/>
      <c r="F16" s="1"/>
      <c r="G16" s="1"/>
      <c r="H16" s="1"/>
    </row>
    <row r="17" spans="1:8" x14ac:dyDescent="0.35">
      <c r="A17" s="1"/>
      <c r="B17" s="1"/>
      <c r="C17" s="1"/>
      <c r="D17" s="1"/>
      <c r="E17" s="1"/>
      <c r="F17" s="1"/>
      <c r="G17" s="1"/>
      <c r="H17" s="1"/>
    </row>
    <row r="18" spans="1:8" x14ac:dyDescent="0.35">
      <c r="A18" s="1"/>
      <c r="B18" s="1"/>
      <c r="C18" s="1"/>
      <c r="D18" s="1"/>
      <c r="E18" s="1"/>
      <c r="F18" s="1"/>
      <c r="G18" s="1"/>
      <c r="H18" s="1"/>
    </row>
    <row r="19" spans="1:8" x14ac:dyDescent="0.35">
      <c r="A19" s="1"/>
      <c r="B19" s="1"/>
      <c r="C19" s="1"/>
      <c r="D19" s="1"/>
      <c r="E19" s="1"/>
      <c r="F19" s="1"/>
      <c r="G19" s="1"/>
      <c r="H19" s="1"/>
    </row>
    <row r="20" spans="1:8" x14ac:dyDescent="0.35">
      <c r="A20" s="1"/>
      <c r="B20" s="1"/>
      <c r="C20" s="1"/>
      <c r="D20" s="1"/>
      <c r="E20" s="1"/>
      <c r="F20" s="1"/>
      <c r="G20" s="1"/>
      <c r="H20" s="1"/>
    </row>
    <row r="21" spans="1:8" x14ac:dyDescent="0.35">
      <c r="A21" s="1"/>
      <c r="B21" s="1"/>
      <c r="C21" s="1"/>
      <c r="D21" s="1"/>
      <c r="E21" s="1"/>
      <c r="F21" s="1"/>
      <c r="G21" s="1"/>
      <c r="H21" s="1"/>
    </row>
    <row r="22" spans="1:8" x14ac:dyDescent="0.35">
      <c r="A22" s="1"/>
      <c r="B22" s="1"/>
      <c r="C22" s="1"/>
      <c r="D22" s="1"/>
      <c r="E22" s="1"/>
      <c r="F22" s="1"/>
      <c r="G22" s="1"/>
      <c r="H22" s="1"/>
    </row>
    <row r="23" spans="1:8" x14ac:dyDescent="0.35">
      <c r="A23" s="1"/>
      <c r="B23" s="1"/>
      <c r="C23" s="1"/>
      <c r="D23" s="1"/>
      <c r="E23" s="1"/>
      <c r="F23" s="1"/>
      <c r="G23" s="1"/>
      <c r="H23" s="1"/>
    </row>
    <row r="24" spans="1:8" x14ac:dyDescent="0.35">
      <c r="A24" s="1"/>
      <c r="B24" s="1"/>
      <c r="C24" s="1"/>
      <c r="D24" s="1"/>
      <c r="E24" s="1"/>
      <c r="F24" s="1"/>
      <c r="G24" s="1"/>
      <c r="H24" s="1"/>
    </row>
    <row r="25" spans="1:8" x14ac:dyDescent="0.35">
      <c r="A25" s="1"/>
      <c r="B25" s="1"/>
      <c r="C25" s="1"/>
      <c r="D25" s="1"/>
      <c r="E25" s="1"/>
      <c r="F25" s="1"/>
      <c r="G25" s="1"/>
      <c r="H25" s="1"/>
    </row>
    <row r="26" spans="1:8" x14ac:dyDescent="0.35">
      <c r="A26" s="1"/>
      <c r="B26" s="1"/>
      <c r="C26" s="1"/>
      <c r="D26" s="1"/>
      <c r="E26" s="1"/>
      <c r="F26" s="1"/>
      <c r="G26" s="1"/>
      <c r="H26" s="1"/>
    </row>
    <row r="27" spans="1:8" x14ac:dyDescent="0.35">
      <c r="A27" s="1"/>
      <c r="B27" s="1"/>
      <c r="C27" s="1"/>
      <c r="D27" s="1"/>
      <c r="E27" s="1"/>
      <c r="F27" s="1"/>
      <c r="G27" s="1"/>
      <c r="H27" s="1"/>
    </row>
    <row r="28" spans="1:8" x14ac:dyDescent="0.35">
      <c r="A28" s="1"/>
      <c r="B28" s="1"/>
      <c r="C28" s="1"/>
      <c r="D28" s="1"/>
      <c r="E28" s="1"/>
      <c r="F28" s="1"/>
      <c r="G28" s="1"/>
      <c r="H28" s="1"/>
    </row>
    <row r="29" spans="1:8" x14ac:dyDescent="0.35">
      <c r="A29" s="1"/>
      <c r="B29" s="1"/>
      <c r="C29" s="1"/>
      <c r="D29" s="1"/>
      <c r="E29" s="1"/>
      <c r="F29" s="1"/>
      <c r="G29" s="1"/>
      <c r="H29" s="1"/>
    </row>
    <row r="30" spans="1:8" x14ac:dyDescent="0.35">
      <c r="A30" s="1"/>
      <c r="B30" s="1"/>
      <c r="C30" s="1"/>
      <c r="D30" s="1"/>
      <c r="E30" s="1"/>
      <c r="F30" s="1"/>
      <c r="G30" s="1"/>
      <c r="H30" s="1"/>
    </row>
    <row r="31" spans="1:8" x14ac:dyDescent="0.35">
      <c r="A31" s="1"/>
      <c r="B31" s="1"/>
      <c r="C31" s="1"/>
      <c r="D31" s="1"/>
      <c r="E31" s="1"/>
      <c r="F31" s="1"/>
      <c r="G31" s="1"/>
      <c r="H31" s="1"/>
    </row>
    <row r="32" spans="1:8" x14ac:dyDescent="0.35">
      <c r="A32" s="1"/>
      <c r="B32" s="1"/>
      <c r="C32" s="1"/>
      <c r="D32" s="1"/>
      <c r="E32" s="1"/>
      <c r="F32" s="1"/>
      <c r="G32" s="1"/>
      <c r="H32" s="1"/>
    </row>
    <row r="33" spans="1:8" x14ac:dyDescent="0.35">
      <c r="A33" s="1"/>
      <c r="B33" s="1"/>
      <c r="C33" s="1"/>
      <c r="D33" s="1"/>
      <c r="E33" s="1"/>
      <c r="F33" s="1"/>
      <c r="G33" s="1"/>
      <c r="H33" s="1"/>
    </row>
    <row r="34" spans="1:8" x14ac:dyDescent="0.35">
      <c r="A34" s="1"/>
      <c r="B34" s="1"/>
      <c r="C34" s="1"/>
      <c r="D34" s="1"/>
      <c r="E34" s="1"/>
      <c r="F34" s="1"/>
      <c r="G34" s="1"/>
      <c r="H34" s="1"/>
    </row>
    <row r="35" spans="1:8" x14ac:dyDescent="0.35">
      <c r="A35" s="1"/>
      <c r="B35" s="1"/>
      <c r="C35" s="1"/>
      <c r="D35" s="1"/>
      <c r="E35" s="1"/>
      <c r="F35" s="1"/>
      <c r="G35" s="1"/>
      <c r="H35" s="1"/>
    </row>
    <row r="36" spans="1:8" x14ac:dyDescent="0.35">
      <c r="A36" s="1"/>
      <c r="B36" s="1"/>
      <c r="C36" s="1"/>
      <c r="D36" s="1"/>
      <c r="E36" s="1"/>
      <c r="F36" s="1"/>
      <c r="G36" s="1"/>
      <c r="H36" s="1"/>
    </row>
    <row r="37" spans="1:8" x14ac:dyDescent="0.35">
      <c r="A37" s="1"/>
      <c r="B37" s="1"/>
      <c r="C37" s="1"/>
      <c r="D37" s="1"/>
      <c r="E37" s="1"/>
      <c r="F37" s="1"/>
      <c r="G37" s="1"/>
      <c r="H37" s="1"/>
    </row>
    <row r="38" spans="1:8" x14ac:dyDescent="0.35">
      <c r="A38" s="1"/>
      <c r="B38" s="1"/>
      <c r="C38" s="1"/>
      <c r="D38" s="1"/>
      <c r="E38" s="1"/>
      <c r="F38" s="1"/>
      <c r="G38" s="1"/>
      <c r="H38" s="1"/>
    </row>
    <row r="39" spans="1:8" x14ac:dyDescent="0.35">
      <c r="A39" s="1"/>
      <c r="B39" s="1"/>
      <c r="C39" s="1"/>
      <c r="D39" s="1"/>
      <c r="E39" s="1"/>
      <c r="F39" s="1"/>
      <c r="G39" s="1"/>
      <c r="H39" s="1"/>
    </row>
    <row r="40" spans="1:8" x14ac:dyDescent="0.35">
      <c r="A40" s="1"/>
      <c r="B40" s="1"/>
      <c r="C40" s="1"/>
      <c r="D40" s="1"/>
      <c r="E40" s="1"/>
      <c r="F40" s="1"/>
      <c r="G40" s="1"/>
      <c r="H40" s="1"/>
    </row>
    <row r="41" spans="1:8" x14ac:dyDescent="0.35">
      <c r="A41" s="1"/>
      <c r="B41" s="1"/>
      <c r="C41" s="1"/>
      <c r="D41" s="1"/>
      <c r="E41" s="1"/>
      <c r="F41" s="1"/>
      <c r="G41" s="1"/>
      <c r="H41" s="1"/>
    </row>
    <row r="42" spans="1:8" x14ac:dyDescent="0.35">
      <c r="A42" s="1"/>
      <c r="B42" s="1"/>
      <c r="C42" s="1"/>
      <c r="D42" s="1"/>
      <c r="E42" s="1"/>
      <c r="F42" s="1"/>
      <c r="G42" s="1"/>
      <c r="H42" s="1"/>
    </row>
    <row r="43" spans="1:8" x14ac:dyDescent="0.35">
      <c r="A43" s="1"/>
      <c r="B43" s="1"/>
      <c r="C43" s="1"/>
      <c r="D43" s="1"/>
      <c r="E43" s="1"/>
      <c r="F43" s="1"/>
      <c r="G43" s="1"/>
      <c r="H43" s="1"/>
    </row>
    <row r="44" spans="1:8" x14ac:dyDescent="0.35">
      <c r="A44" s="1"/>
      <c r="B44" s="1"/>
      <c r="C44" s="1"/>
      <c r="D44" s="1"/>
      <c r="E44" s="1"/>
      <c r="F44" s="1"/>
      <c r="G44" s="1"/>
      <c r="H44" s="1"/>
    </row>
    <row r="45" spans="1:8" x14ac:dyDescent="0.35">
      <c r="A45" s="1"/>
      <c r="B45" s="1"/>
      <c r="C45" s="1"/>
      <c r="D45" s="1"/>
      <c r="E45" s="1"/>
      <c r="F45" s="1"/>
      <c r="G45" s="1"/>
      <c r="H45" s="1"/>
    </row>
    <row r="46" spans="1:8" x14ac:dyDescent="0.35">
      <c r="A46" s="1"/>
      <c r="B46" s="1"/>
      <c r="C46" s="1"/>
      <c r="D46" s="1"/>
      <c r="E46" s="1"/>
      <c r="F46" s="1"/>
      <c r="G46" s="1"/>
      <c r="H46" s="1"/>
    </row>
    <row r="47" spans="1:8" x14ac:dyDescent="0.35">
      <c r="A47" s="1"/>
      <c r="B47" s="1"/>
      <c r="C47" s="1"/>
      <c r="D47" s="1"/>
      <c r="E47" s="1"/>
      <c r="F47" s="1"/>
      <c r="G47" s="1"/>
      <c r="H47" s="1"/>
    </row>
    <row r="48" spans="1:8" x14ac:dyDescent="0.35">
      <c r="A48" s="1"/>
      <c r="B48" s="1"/>
      <c r="C48" s="1"/>
      <c r="D48" s="1"/>
      <c r="E48" s="1"/>
      <c r="F48" s="1"/>
      <c r="G48" s="1"/>
      <c r="H48" s="1"/>
    </row>
  </sheetData>
  <sheetProtection algorithmName="SHA-512" hashValue="1+AR1/w8oj48WpPKOxYoL6lxuWRzvi+uC0c6WfODC+iPbiqX+2cPwKE7oHbwr5t6OnDobWsFduaI4Z3AcdfHVQ==" saltValue="pAUdxewQp1/Bq45WQy9q5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2023-10-10T10:45:39Z</dcterms:modified>
</cp:coreProperties>
</file>