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anø Vand AS (S016)\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2" i="7" l="1"/>
  <c r="E31" i="6" l="1"/>
  <c r="E19" i="5"/>
  <c r="E19" i="4"/>
  <c r="E20" i="3"/>
  <c r="E33" i="2"/>
  <c r="G18" i="17" l="1"/>
  <c r="C17" i="5" l="1"/>
  <c r="C17" i="4"/>
  <c r="C18" i="3"/>
  <c r="E26" i="8" l="1"/>
  <c r="E30" i="8" s="1"/>
  <c r="E32" i="8" l="1"/>
  <c r="E17" i="5" l="1"/>
  <c r="E17" i="4"/>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3"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<sst xmlns="http://schemas.openxmlformats.org/spreadsheetml/2006/main" count="433" uniqueCount="189">
  <si>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</si>
  <si>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</si>
  <si>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</si>
  <si>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</si>
  <si>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</si>
  <si>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</si>
  <si>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</si>
  <si>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</si>
  <si>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</si>
  <si>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</si>
  <si>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</si>
  <si>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</si>
  <si>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</si>
  <si>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</si>
  <si>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</si>
  <si>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</si>
  <si>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</si>
  <si>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</si>
  <si>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</si>
  <si>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</si>
  <si>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</si>
  <si>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</si>
  <si>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</si>
  <si>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</si>
  <si>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</si>
  <si>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</si>
  <si>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</si>
  <si>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</si>
  <si>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</si>
  <si>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</si>
  <si>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</si>
  <si>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</si>
  <si>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</si>
  <si>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</si>
  <si>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</si>
  <si>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</si>
  <si>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</si>
  <si>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</si>
  <si>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</si>
  <si>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</si>
  <si>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</si>
  <si>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</si>
  <si>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</si>
  <si>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</si>
  <si>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</si>
  <si>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</si>
  <si>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</si>
  <si>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</si>
  <si>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</si>
  <si>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</si>
  <si>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</si>
  <si>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</si>
  <si>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</si>
  <si>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</si>
  <si>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</si>
  <si>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</si>
  <si>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</si>
  <si>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</si>
  <si>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</si>
  <si>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</si>
  <si>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</si>
  <si>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</si>
  <si>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</si>
  <si>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</si>
  <si>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</si>
  <si>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</si>
  <si>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</si>
  <si>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</si>
  <si>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</si>
  <si>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</si>
  <si>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</si>
  <si>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</si>
  <si>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</si>
  <si>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</si>
  <si>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</si>
  <si>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</si>
  <si>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</si>
  <si>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</si>
  <si>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</si>
  <si>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</si>
  <si>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</si>
  <si>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</si>
  <si>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</si>
  <si>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</si>
  <si>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</si>
  <si>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</si>
  <si>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</si>
  <si>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</si>
  <si>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</si>
  <si>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</si>
  <si>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</si>
  <si>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</si>
  <si>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</si>
  <si>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</si>
  <si>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</si>
  <si>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</si>
  <si>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</si>
  <si>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</si>
  <si>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</si>
  <si>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</si>
  <si>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</si>
  <si>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</si>
  <si>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</si>
  <si>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</si>
  <si>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</si>
  <si>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</si>
  <si>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</si>
  <si>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</si>
  <si>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</si>
  <si>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</si>
  <si>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</si>
  <si>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</si>
  <si>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</si>
  <si>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</si>
  <si>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</si>
  <si>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</si>
  <si>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</si>
  <si>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</si>
  <si>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</si>
  <si>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</si>
  <si>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</si>
  <si>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</si>
  <si>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</si>
  <si>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</si>
  <si>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</si>
  <si>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</si>
  <si>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</si>
  <si>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</si>
  <si>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</si>
  <si>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</si>
  <si>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</si>
  <si>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</si>
  <si>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</si>
  <si>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</si>
  <si>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</si>
  <si>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</si>
  <si>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</si>
  <si>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</si>
  <si>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</si>
  <si>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</si>
  <si>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</si>
  <si>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</si>
  <si>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</si>
  <si>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</si>
  <si>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</si>
  <si>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</si>
  <si>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</si>
  <si>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</si>
  <si>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</si>
  <si>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</si>
  <si>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</si>
  <si>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</si>
  <si>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</si>
  <si>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</si>
  <si>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</si>
  <si>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</si>
  <si>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</si>
  <si>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</si>
  <si>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</si>
  <si>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</si>
  <si>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</si>
  <si>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</si>
  <si>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</si>
  <si>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</si>
  <si>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</si>
  <si>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</si>
  <si>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Afgift til Forsyningssekretariatet</t>
  </si>
  <si>
    <t>Køb af ydelser og produkter fra andre vandselskaber reguleret af vandsektorloven</t>
  </si>
  <si>
    <t>Resultat af kontrol med overholdelse af den økonomiske rammer for 2021</t>
  </si>
  <si>
    <t>Ingen tilknyttet virksomhed under hovedvirksomheden</t>
  </si>
  <si>
    <t>Nye tilslutninger</t>
  </si>
  <si>
    <t>Indregnet fradrag i økonomisk ramme for 2024</t>
  </si>
  <si>
    <t>Indregnet fradrag i økonomisk ramme for 2025</t>
  </si>
  <si>
    <t>Indregnet fradrag i økonomisk ramme for 2026</t>
  </si>
  <si>
    <t>Indregnet fradrag i økonomisk ramme for 2027</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</si>
  <si>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</si>
  <si>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</si>
  <si>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</si>
  <si>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</si>
  <si>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</si>
  <si>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</si>
  <si>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</si>
  <si>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</si>
  <si>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engangstillæg</t>
  </si>
  <si>
    <t>Fane 8</t>
  </si>
  <si>
    <t>Fane 9.1</t>
  </si>
  <si>
    <t>Fane 9.2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</si>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</sst>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4" borderId="1" xfId="0" applyFont="1" applyFill="1" applyBorder="1" applyAlignment="1" applyProtection="1">
      <alignment horizontal="left" vertical="center" wrapText="1"/>
    </xf>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5"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8" fillId="4" borderId="1" xfId="0" applyNumberFormat="1" applyFont="1" applyFill="1" applyBorder="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86" t="s">
        <v>4</v>
      </c>
      <c r="E6" s="86"/>
      <c r="F6" s="86"/>
      <c r="G6" s="86"/>
      <c r="H6" s="3"/>
      <c r="I6" s="1"/>
    </row>
    <row r="7" spans="1:9" ht="15.75" customHeight="1" x14ac:dyDescent="0.25">
      <c r="A7" s="1"/>
      <c r="B7" s="1"/>
      <c r="C7" s="3"/>
      <c r="D7" s="86"/>
      <c r="E7" s="86"/>
      <c r="F7" s="86"/>
      <c r="G7" s="86"/>
      <c r="H7" s="3"/>
      <c r="I7" s="1"/>
    </row>
    <row r="8" spans="1:9" ht="15.75" customHeight="1" x14ac:dyDescent="0.25">
      <c r="A8" s="1"/>
      <c r="B8" s="1"/>
      <c r="C8" s="4"/>
      <c r="D8" s="91" t="s">
        <v>140</v>
      </c>
      <c r="E8" s="91"/>
      <c r="F8" s="91"/>
      <c r="G8" s="91"/>
      <c r="H8" s="3"/>
      <c r="I8" s="1"/>
    </row>
    <row r="9" spans="1:9" ht="15.75" customHeight="1" x14ac:dyDescent="0.25">
      <c r="A9" s="1"/>
      <c r="B9" s="5"/>
      <c r="C9" s="5"/>
      <c r="D9" s="5"/>
      <c r="E9" s="5"/>
      <c r="F9" s="5"/>
      <c r="G9" s="5"/>
      <c r="H9" s="3"/>
      <c r="I9" s="1"/>
    </row>
    <row r="10" spans="1:9" ht="15.75" customHeight="1" x14ac:dyDescent="0.25">
      <c r="A10" s="1"/>
      <c r="B10" s="5"/>
      <c r="C10" s="5"/>
      <c r="D10" s="90" t="s">
        <v>5</v>
      </c>
      <c r="E10" s="90"/>
      <c r="F10" s="90"/>
      <c r="G10" s="90"/>
      <c r="H10" s="3"/>
      <c r="I10" s="1"/>
    </row>
    <row r="11" spans="1:9" ht="15.75" customHeight="1" x14ac:dyDescent="0.25">
      <c r="A11" s="1"/>
      <c r="B11" s="1"/>
      <c r="C11" s="1"/>
      <c r="D11" s="1"/>
      <c r="E11" s="1"/>
      <c r="F11" s="1"/>
      <c r="G11" s="1"/>
      <c r="H11" s="3"/>
      <c r="I11" s="1"/>
    </row>
    <row r="12" spans="1:9" ht="15.75" customHeight="1" x14ac:dyDescent="0.25">
      <c r="A12" s="1"/>
      <c r="B12" s="1"/>
      <c r="C12" s="6" t="s">
        <v>6</v>
      </c>
      <c r="D12" s="92" t="s">
        <v>74</v>
      </c>
      <c r="E12" s="93"/>
      <c r="F12" s="93"/>
      <c r="G12" s="94"/>
      <c r="H12" s="3"/>
      <c r="I12" s="1"/>
    </row>
    <row r="13" spans="1:9" ht="15.75" customHeight="1" x14ac:dyDescent="0.25">
      <c r="A13" s="1"/>
      <c r="B13" s="1"/>
      <c r="C13" s="6" t="s">
        <v>14</v>
      </c>
      <c r="D13" s="83" t="s">
        <v>144</v>
      </c>
      <c r="E13" s="84"/>
      <c r="F13" s="84"/>
      <c r="G13" s="85"/>
      <c r="H13" s="3"/>
      <c r="I13" s="1"/>
    </row>
    <row r="14" spans="1:9" ht="15.75" customHeight="1" x14ac:dyDescent="0.25">
      <c r="A14" s="1"/>
      <c r="B14" s="1"/>
      <c r="C14" s="6" t="s">
        <v>29</v>
      </c>
      <c r="D14" s="83" t="s">
        <v>76</v>
      </c>
      <c r="E14" s="84"/>
      <c r="F14" s="84"/>
      <c r="G14" s="85"/>
      <c r="H14" s="3"/>
      <c r="I14" s="1"/>
    </row>
    <row r="15" spans="1:9" ht="15.75" customHeight="1" x14ac:dyDescent="0.25">
      <c r="A15" s="1"/>
      <c r="B15" s="1"/>
      <c r="C15" s="6" t="s">
        <v>30</v>
      </c>
      <c r="D15" s="83" t="s">
        <v>100</v>
      </c>
      <c r="E15" s="84"/>
      <c r="F15" s="84"/>
      <c r="G15" s="85"/>
      <c r="H15" s="3"/>
      <c r="I15" s="1"/>
    </row>
    <row r="16" spans="1:9" ht="15.75" customHeight="1" x14ac:dyDescent="0.25">
      <c r="A16" s="1"/>
      <c r="B16" s="1"/>
      <c r="C16" s="6" t="s">
        <v>75</v>
      </c>
      <c r="D16" s="83" t="s">
        <v>101</v>
      </c>
      <c r="E16" s="84"/>
      <c r="F16" s="84"/>
      <c r="G16" s="85"/>
      <c r="H16" s="3"/>
      <c r="I16" s="1"/>
    </row>
    <row r="17" spans="1:9" ht="15.75" customHeight="1" x14ac:dyDescent="0.25">
      <c r="A17" s="1"/>
      <c r="B17" s="1"/>
      <c r="C17" s="6" t="s">
        <v>7</v>
      </c>
      <c r="D17" s="98" t="s">
        <v>10</v>
      </c>
      <c r="E17" s="99"/>
      <c r="F17" s="99"/>
      <c r="G17" s="100"/>
      <c r="H17" s="3"/>
      <c r="I17" s="1"/>
    </row>
    <row r="18" spans="1:9" ht="15.75" customHeight="1" x14ac:dyDescent="0.25">
      <c r="A18" s="1"/>
      <c r="B18" s="1"/>
      <c r="C18" s="6" t="s">
        <v>8</v>
      </c>
      <c r="D18" s="87" t="s">
        <v>102</v>
      </c>
      <c r="E18" s="88"/>
      <c r="F18" s="88"/>
      <c r="G18" s="89"/>
      <c r="H18" s="3"/>
      <c r="I18" s="1"/>
    </row>
    <row r="19" spans="1:9" ht="15.75" customHeight="1" x14ac:dyDescent="0.25">
      <c r="A19" s="1"/>
      <c r="B19" s="1"/>
      <c r="C19" s="6" t="s">
        <v>56</v>
      </c>
      <c r="D19" s="87" t="s">
        <v>103</v>
      </c>
      <c r="E19" s="88"/>
      <c r="F19" s="88"/>
      <c r="G19" s="89"/>
      <c r="H19" s="3"/>
      <c r="I19" s="1"/>
    </row>
    <row r="20" spans="1:9" ht="15.75" customHeight="1" x14ac:dyDescent="0.25">
      <c r="A20" s="1"/>
      <c r="B20" s="1"/>
      <c r="C20" s="6" t="s">
        <v>36</v>
      </c>
      <c r="D20" s="87" t="s">
        <v>161</v>
      </c>
      <c r="E20" s="88"/>
      <c r="F20" s="88"/>
      <c r="G20" s="89"/>
      <c r="H20" s="3"/>
      <c r="I20" s="1"/>
    </row>
    <row r="21" spans="1:9" ht="15.75" customHeight="1" x14ac:dyDescent="0.25">
      <c r="A21" s="1"/>
      <c r="B21" s="1"/>
      <c r="C21" s="6" t="s">
        <v>184</v>
      </c>
      <c r="D21" s="87" t="s">
        <v>145</v>
      </c>
      <c r="E21" s="88"/>
      <c r="F21" s="88"/>
      <c r="G21" s="89"/>
      <c r="H21" s="1"/>
      <c r="I21" s="1"/>
    </row>
    <row r="22" spans="1:9" ht="15.75" customHeight="1" x14ac:dyDescent="0.25">
      <c r="A22" s="1"/>
      <c r="B22" s="1"/>
      <c r="C22" s="6" t="s">
        <v>185</v>
      </c>
      <c r="D22" s="87" t="s">
        <v>37</v>
      </c>
      <c r="E22" s="88"/>
      <c r="F22" s="88"/>
      <c r="G22" s="89"/>
      <c r="H22" s="1"/>
      <c r="I22" s="1"/>
    </row>
    <row r="23" spans="1:9" ht="15.75" customHeight="1" x14ac:dyDescent="0.25">
      <c r="A23" s="1"/>
      <c r="B23" s="1"/>
      <c r="C23" s="6" t="s">
        <v>186</v>
      </c>
      <c r="D23" s="87" t="s">
        <v>38</v>
      </c>
      <c r="E23" s="88"/>
      <c r="F23" s="88"/>
      <c r="G23" s="89"/>
      <c r="H23" s="1"/>
      <c r="I23" s="1"/>
    </row>
    <row r="24" spans="1:9" ht="15.75" customHeight="1" x14ac:dyDescent="0.25">
      <c r="A24" s="1"/>
      <c r="B24" s="1"/>
      <c r="C24" s="6" t="s">
        <v>46</v>
      </c>
      <c r="D24" s="87" t="s">
        <v>39</v>
      </c>
      <c r="E24" s="88"/>
      <c r="F24" s="88"/>
      <c r="G24" s="89"/>
      <c r="H24" s="1"/>
      <c r="I24" s="1"/>
    </row>
    <row r="25" spans="1:9" ht="15.75" customHeight="1" x14ac:dyDescent="0.25">
      <c r="A25" s="1"/>
      <c r="B25" s="1"/>
      <c r="C25" s="6" t="s">
        <v>57</v>
      </c>
      <c r="D25" s="87" t="s">
        <v>63</v>
      </c>
      <c r="E25" s="88"/>
      <c r="F25" s="88"/>
      <c r="G25" s="89"/>
      <c r="H25" s="1"/>
      <c r="I25" s="1"/>
    </row>
    <row r="26" spans="1:9" ht="15.75" customHeight="1" x14ac:dyDescent="0.25">
      <c r="A26" s="1"/>
      <c r="B26" s="1"/>
      <c r="C26" s="6" t="s">
        <v>13</v>
      </c>
      <c r="D26" s="87" t="s">
        <v>31</v>
      </c>
      <c r="E26" s="88"/>
      <c r="F26" s="88"/>
      <c r="G26" s="89"/>
      <c r="H26" s="1"/>
      <c r="I26" s="1"/>
    </row>
    <row r="27" spans="1:9" ht="15.75" customHeight="1" x14ac:dyDescent="0.25">
      <c r="A27" s="1"/>
      <c r="B27" s="1"/>
      <c r="C27" s="6" t="s">
        <v>187</v>
      </c>
      <c r="D27" s="95" t="s">
        <v>58</v>
      </c>
      <c r="E27" s="96"/>
      <c r="F27" s="96"/>
      <c r="G27" s="97"/>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row r="48" spans="1:9" ht="15.75" customHeight="1" x14ac:dyDescent="0.25">
      <c r="A48" s="1"/>
      <c r="B48" s="1"/>
      <c r="C48" s="1"/>
      <c r="D48" s="1"/>
      <c r="E48" s="1"/>
      <c r="F48" s="1"/>
      <c r="G48" s="1"/>
      <c r="H48" s="1"/>
      <c r="I48" s="1"/>
    </row>
    <row r="49" spans="1:9" ht="15.75" customHeight="1" x14ac:dyDescent="0.25">
      <c r="A49" s="1"/>
      <c r="B49" s="1"/>
      <c r="C49" s="1"/>
      <c r="D49" s="1"/>
      <c r="E49" s="1"/>
      <c r="F49" s="1"/>
      <c r="G49" s="1"/>
      <c r="H49" s="1"/>
      <c r="I49" s="1"/>
    </row>
  </sheetData>
  <sheetProtection algorithmName="SHA-512" hashValue="HHs4ZGXudi47NpXMVwT9tHaZm/fU3ZgX9Ut0UtyBS12OEJFvR8hcsVDXUXJNZVEFRgfmRY1CDC33dqDXr4L5Hg==" saltValue="0iKpB4oY7HFzOQZM0AIAnQ=="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150</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151</v>
      </c>
      <c r="C8" s="118"/>
      <c r="D8" s="118"/>
      <c r="E8" s="118"/>
      <c r="F8" s="118"/>
      <c r="G8" s="118"/>
      <c r="H8" s="119"/>
      <c r="I8" s="1"/>
    </row>
    <row r="9" spans="1:9" ht="15" customHeight="1" x14ac:dyDescent="0.25">
      <c r="A9" s="1"/>
      <c r="B9" s="104" t="s">
        <v>152</v>
      </c>
      <c r="C9" s="105"/>
      <c r="D9" s="105"/>
      <c r="E9" s="105"/>
      <c r="F9" s="105"/>
      <c r="G9" s="105"/>
      <c r="H9" s="106"/>
      <c r="I9" s="1"/>
    </row>
    <row r="10" spans="1:9" x14ac:dyDescent="0.25">
      <c r="A10" s="1"/>
      <c r="B10" s="138" t="s">
        <v>175</v>
      </c>
      <c r="C10" s="139"/>
      <c r="D10" s="139"/>
      <c r="E10" s="139"/>
      <c r="F10" s="140"/>
      <c r="G10" s="61">
        <v>0</v>
      </c>
      <c r="H10" s="8" t="s">
        <v>3</v>
      </c>
      <c r="I10" s="1"/>
    </row>
    <row r="11" spans="1:9" x14ac:dyDescent="0.25">
      <c r="A11" s="1"/>
      <c r="B11" s="138" t="s">
        <v>176</v>
      </c>
      <c r="C11" s="139"/>
      <c r="D11" s="139"/>
      <c r="E11" s="139"/>
      <c r="F11" s="140"/>
      <c r="G11" s="61">
        <v>0</v>
      </c>
      <c r="H11" s="8" t="s">
        <v>3</v>
      </c>
      <c r="I11" s="1"/>
    </row>
    <row r="12" spans="1:9" x14ac:dyDescent="0.25">
      <c r="A12" s="1"/>
      <c r="B12" s="138" t="s">
        <v>177</v>
      </c>
      <c r="C12" s="139"/>
      <c r="D12" s="139"/>
      <c r="E12" s="139"/>
      <c r="F12" s="140"/>
      <c r="G12" s="8">
        <v>0</v>
      </c>
      <c r="H12" s="8" t="s">
        <v>3</v>
      </c>
      <c r="I12" s="1"/>
    </row>
    <row r="13" spans="1:9" x14ac:dyDescent="0.25">
      <c r="A13" s="1"/>
      <c r="B13" s="138" t="s">
        <v>178</v>
      </c>
      <c r="C13" s="139"/>
      <c r="D13" s="139"/>
      <c r="E13" s="139"/>
      <c r="F13" s="140"/>
      <c r="G13" s="8">
        <v>0</v>
      </c>
      <c r="H13" s="8" t="s">
        <v>3</v>
      </c>
      <c r="I13" s="1"/>
    </row>
    <row r="14" spans="1:9" x14ac:dyDescent="0.25">
      <c r="A14" s="1"/>
      <c r="B14" s="138" t="s">
        <v>179</v>
      </c>
      <c r="C14" s="139"/>
      <c r="D14" s="139"/>
      <c r="E14" s="139"/>
      <c r="F14" s="140"/>
      <c r="G14" s="8">
        <v>0</v>
      </c>
      <c r="H14" s="8" t="s">
        <v>3</v>
      </c>
      <c r="I14" s="1"/>
    </row>
    <row r="15" spans="1:9" x14ac:dyDescent="0.25">
      <c r="A15" s="1"/>
      <c r="B15" s="138" t="s">
        <v>180</v>
      </c>
      <c r="C15" s="139"/>
      <c r="D15" s="139"/>
      <c r="E15" s="139"/>
      <c r="F15" s="140"/>
      <c r="G15" s="8">
        <v>0</v>
      </c>
      <c r="H15" s="8" t="s">
        <v>3</v>
      </c>
      <c r="I15" s="1"/>
    </row>
    <row r="16" spans="1:9" x14ac:dyDescent="0.25">
      <c r="A16" s="1"/>
      <c r="B16" s="138" t="s">
        <v>181</v>
      </c>
      <c r="C16" s="139"/>
      <c r="D16" s="139"/>
      <c r="E16" s="139"/>
      <c r="F16" s="140"/>
      <c r="G16" s="8">
        <v>0</v>
      </c>
      <c r="H16" s="8" t="s">
        <v>3</v>
      </c>
      <c r="I16" s="1"/>
    </row>
    <row r="17" spans="1:9" x14ac:dyDescent="0.25">
      <c r="A17" s="1"/>
      <c r="B17" s="138" t="s">
        <v>182</v>
      </c>
      <c r="C17" s="139"/>
      <c r="D17" s="139"/>
      <c r="E17" s="139"/>
      <c r="F17" s="140"/>
      <c r="G17" s="8">
        <v>0</v>
      </c>
      <c r="H17" s="8" t="s">
        <v>3</v>
      </c>
      <c r="I17" s="1"/>
    </row>
    <row r="18" spans="1:9" x14ac:dyDescent="0.25">
      <c r="A18" s="1"/>
      <c r="B18" s="117" t="s">
        <v>153</v>
      </c>
      <c r="C18" s="118"/>
      <c r="D18" s="118"/>
      <c r="E18" s="118"/>
      <c r="F18" s="119"/>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ftaaxcl8iUM89AAtgZEQsF/nwkVzg1DV8uz6Sj/rOUKMGORKCCByPFyJn2cApOD4BYrnzOczEosS03B34+4jfA==" saltValue="UOtmroImIKptJWu+iGi3w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154</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133</v>
      </c>
      <c r="C8" s="118"/>
      <c r="D8" s="118"/>
      <c r="E8" s="118"/>
      <c r="F8" s="118"/>
      <c r="G8" s="118"/>
      <c r="H8" s="118"/>
      <c r="I8" s="118"/>
      <c r="J8" s="118"/>
      <c r="K8" s="119"/>
      <c r="L8" s="1"/>
    </row>
    <row r="9" spans="1:12" ht="39.75" customHeight="1" x14ac:dyDescent="0.25">
      <c r="A9" s="1"/>
      <c r="B9" s="58" t="s">
        <v>0</v>
      </c>
      <c r="C9" s="16" t="s">
        <v>1</v>
      </c>
      <c r="D9" s="141" t="s">
        <v>149</v>
      </c>
      <c r="E9" s="142"/>
      <c r="F9" s="141" t="s">
        <v>2</v>
      </c>
      <c r="G9" s="142"/>
      <c r="H9" s="141" t="s">
        <v>148</v>
      </c>
      <c r="I9" s="142"/>
      <c r="J9" s="141" t="s">
        <v>24</v>
      </c>
      <c r="K9" s="142"/>
      <c r="L9" s="1"/>
    </row>
    <row r="10" spans="1:12" x14ac:dyDescent="0.25">
      <c r="A10" s="1"/>
      <c r="B10" s="78" t="s">
        <v>165</v>
      </c>
      <c r="C10" s="34"/>
      <c r="D10" s="8">
        <v>0</v>
      </c>
      <c r="E10" s="12" t="s">
        <v>3</v>
      </c>
      <c r="F10" s="8">
        <f>IFERROR(D10/C10,0)</f>
        <v>0</v>
      </c>
      <c r="G10" s="12" t="s">
        <v>3</v>
      </c>
      <c r="H10" s="8">
        <v>0</v>
      </c>
      <c r="I10" s="12" t="s">
        <v>3</v>
      </c>
      <c r="J10" s="8">
        <v>0</v>
      </c>
      <c r="K10" s="12" t="s">
        <v>3</v>
      </c>
      <c r="L10" s="1"/>
    </row>
    <row r="11" spans="1:12" x14ac:dyDescent="0.25">
      <c r="A11" s="1"/>
      <c r="B11" s="117" t="s">
        <v>134</v>
      </c>
      <c r="C11" s="118"/>
      <c r="D11" s="118"/>
      <c r="E11" s="119"/>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jv0oOEDFZZY+qxRy2T3ZxpmqjOGLhJZQCy/TZIud8VhsCBoJFyD7D0AbjrJQHHW37r2ei9P0PMNcmNy8UvhoQ==" saltValue="SjVZag4/EVNj1HvLaQtiG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155</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33</v>
      </c>
      <c r="C8" s="22"/>
      <c r="D8" s="22"/>
      <c r="E8" s="22"/>
      <c r="F8" s="82"/>
      <c r="G8" s="1"/>
    </row>
    <row r="9" spans="1:7" ht="17.25" customHeight="1" x14ac:dyDescent="0.25">
      <c r="A9" s="1"/>
      <c r="B9" s="66" t="s">
        <v>15</v>
      </c>
      <c r="C9" s="66" t="s">
        <v>9</v>
      </c>
      <c r="D9" s="67"/>
      <c r="E9" s="66" t="s">
        <v>25</v>
      </c>
      <c r="F9" s="80"/>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170</v>
      </c>
      <c r="C11" s="19">
        <v>22031</v>
      </c>
      <c r="D11" s="12" t="s">
        <v>3</v>
      </c>
      <c r="E11" s="8">
        <v>8843</v>
      </c>
      <c r="F11" s="12" t="s">
        <v>3</v>
      </c>
      <c r="G11" s="1"/>
    </row>
    <row r="12" spans="1:7" x14ac:dyDescent="0.25">
      <c r="A12" s="1"/>
      <c r="B12" s="81" t="s">
        <v>83</v>
      </c>
      <c r="C12" s="10">
        <f>SUM(C10:C11)</f>
        <v>22031</v>
      </c>
      <c r="D12" s="11" t="s">
        <v>3</v>
      </c>
      <c r="E12" s="10">
        <f>SUM(E10:E11)</f>
        <v>8843</v>
      </c>
      <c r="F12" s="11" t="s">
        <v>3</v>
      </c>
      <c r="G12" s="1"/>
    </row>
    <row r="13" spans="1:7" x14ac:dyDescent="0.25">
      <c r="A13" s="1"/>
      <c r="B13" s="81" t="s">
        <v>128</v>
      </c>
      <c r="C13" s="10">
        <f>C12*(1+'Fane 13. Nøgletal'!C15)</f>
        <v>22815.303600000003</v>
      </c>
      <c r="D13" s="11" t="s">
        <v>3</v>
      </c>
      <c r="E13" s="10">
        <f>E12*(1+'Fane 13. Nøgletal'!C15)</f>
        <v>9157.8108000000011</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reAAl8VoMbaEGvSVkA0PpwZruGQwvvsuULIAbOndVgxseqydQMR1bnHDGjpauZ/5PDz84IUH1rKFOlaJk6wvg==" saltValue="czyy7bbeLzWG+XVuE1Y13A=="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156</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48</v>
      </c>
      <c r="C9" s="118"/>
      <c r="D9" s="118"/>
      <c r="E9" s="118"/>
      <c r="F9" s="119"/>
      <c r="G9" s="1"/>
    </row>
    <row r="10" spans="1:7" x14ac:dyDescent="0.25">
      <c r="A10" s="1"/>
      <c r="B10" s="66" t="s">
        <v>15</v>
      </c>
      <c r="C10" s="66" t="s">
        <v>9</v>
      </c>
      <c r="D10" s="67"/>
      <c r="E10" s="66" t="s">
        <v>25</v>
      </c>
      <c r="F10" s="80"/>
      <c r="G10" s="1"/>
    </row>
    <row r="11" spans="1:7" x14ac:dyDescent="0.25">
      <c r="A11" s="1"/>
      <c r="B11" s="20" t="s">
        <v>183</v>
      </c>
      <c r="C11" s="19"/>
      <c r="D11" s="12" t="s">
        <v>3</v>
      </c>
      <c r="E11" s="19"/>
      <c r="F11" s="12" t="s">
        <v>3</v>
      </c>
      <c r="G11" s="1"/>
    </row>
    <row r="12" spans="1:7" x14ac:dyDescent="0.25">
      <c r="A12" s="1"/>
      <c r="B12" s="81" t="s">
        <v>142</v>
      </c>
      <c r="C12" s="10">
        <f>SUM(C11:C11)</f>
        <v>0</v>
      </c>
      <c r="D12" s="11" t="s">
        <v>3</v>
      </c>
      <c r="E12" s="10">
        <f>SUM(E11:E11)</f>
        <v>0</v>
      </c>
      <c r="F12" s="11" t="s">
        <v>3</v>
      </c>
      <c r="G12" s="1"/>
    </row>
    <row r="13" spans="1:7" x14ac:dyDescent="0.25">
      <c r="A13" s="1"/>
      <c r="B13" s="81"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3"/>
      <c r="C22" s="143"/>
      <c r="D22" s="143"/>
      <c r="E22" s="143"/>
      <c r="F22" s="143"/>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3"/>
      <c r="C29" s="143"/>
      <c r="D29" s="143"/>
      <c r="E29" s="143"/>
      <c r="F29" s="143"/>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xh9GmXfd89LUl3GcdiSao9amATBOqMfzx1irvBtlRnmEb4SNYm+fuhmfBu808sDEWWcf1rucujO+YX0wEVTH3A==" saltValue="803Akb0rIlbjJo6nHbP3e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157</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43</v>
      </c>
      <c r="C9" s="118"/>
      <c r="D9" s="118"/>
      <c r="E9" s="118"/>
      <c r="F9" s="119"/>
      <c r="G9" s="1"/>
    </row>
    <row r="10" spans="1:7" x14ac:dyDescent="0.25">
      <c r="A10" s="1"/>
      <c r="B10" s="138" t="s">
        <v>139</v>
      </c>
      <c r="C10" s="139"/>
      <c r="D10" s="140"/>
      <c r="E10" s="8">
        <v>0</v>
      </c>
      <c r="F10" s="12" t="s">
        <v>3</v>
      </c>
      <c r="G10" s="1"/>
    </row>
    <row r="11" spans="1:7" x14ac:dyDescent="0.25">
      <c r="A11" s="1"/>
      <c r="B11" s="109" t="s">
        <v>54</v>
      </c>
      <c r="C11" s="110"/>
      <c r="D11" s="111"/>
      <c r="E11" s="8">
        <f>-E10*'Fane 13. Nøgletal'!C20</f>
        <v>0</v>
      </c>
      <c r="F11" s="12" t="s">
        <v>3</v>
      </c>
      <c r="G11" s="1"/>
    </row>
    <row r="12" spans="1:7" x14ac:dyDescent="0.25">
      <c r="A12" s="1"/>
      <c r="B12" s="117" t="s">
        <v>44</v>
      </c>
      <c r="C12" s="118"/>
      <c r="D12" s="119"/>
      <c r="E12" s="10">
        <f>SUM(E10:E11)*(1+'Fane 13. Nøgletal'!C15)^2</f>
        <v>0</v>
      </c>
      <c r="F12" s="11" t="s">
        <v>3</v>
      </c>
      <c r="G12" s="1"/>
    </row>
    <row r="13" spans="1:7" x14ac:dyDescent="0.25">
      <c r="A13" s="1"/>
      <c r="B13" s="1"/>
      <c r="C13" s="1"/>
      <c r="D13" s="1"/>
      <c r="E13" s="1"/>
      <c r="F13" s="1"/>
      <c r="G13" s="1"/>
    </row>
    <row r="14" spans="1:7" x14ac:dyDescent="0.25">
      <c r="A14" s="1"/>
      <c r="B14" s="117" t="s">
        <v>67</v>
      </c>
      <c r="C14" s="118"/>
      <c r="D14" s="118"/>
      <c r="E14" s="118"/>
      <c r="F14" s="119"/>
      <c r="G14" s="1"/>
    </row>
    <row r="15" spans="1:7" x14ac:dyDescent="0.25">
      <c r="A15" s="1"/>
      <c r="B15" s="138" t="s">
        <v>139</v>
      </c>
      <c r="C15" s="139"/>
      <c r="D15" s="140"/>
      <c r="E15" s="8">
        <v>0</v>
      </c>
      <c r="F15" s="12" t="s">
        <v>3</v>
      </c>
      <c r="G15" s="1"/>
    </row>
    <row r="16" spans="1:7" x14ac:dyDescent="0.25">
      <c r="A16" s="1"/>
      <c r="B16" s="109" t="s">
        <v>54</v>
      </c>
      <c r="C16" s="110"/>
      <c r="D16" s="111"/>
      <c r="E16" s="8">
        <f>-E15*'Fane 13. Nøgletal'!C20</f>
        <v>0</v>
      </c>
      <c r="F16" s="12" t="s">
        <v>3</v>
      </c>
      <c r="G16" s="1"/>
    </row>
    <row r="17" spans="1:7" x14ac:dyDescent="0.25">
      <c r="A17" s="1"/>
      <c r="B17" s="117" t="s">
        <v>68</v>
      </c>
      <c r="C17" s="118"/>
      <c r="D17" s="119"/>
      <c r="E17" s="10">
        <f>SUM(E15:E16)*(1+'Fane 13. Nøgletal'!C15)^3</f>
        <v>0</v>
      </c>
      <c r="F17" s="11" t="s">
        <v>3</v>
      </c>
      <c r="G17" s="1"/>
    </row>
    <row r="18" spans="1:7" x14ac:dyDescent="0.25">
      <c r="A18" s="1"/>
      <c r="B18" s="1"/>
      <c r="C18" s="1"/>
      <c r="D18" s="1"/>
      <c r="E18" s="1"/>
      <c r="F18" s="1"/>
      <c r="G18" s="1"/>
    </row>
    <row r="19" spans="1:7" x14ac:dyDescent="0.25">
      <c r="A19" s="1"/>
      <c r="B19" s="117" t="s">
        <v>84</v>
      </c>
      <c r="C19" s="118"/>
      <c r="D19" s="118"/>
      <c r="E19" s="118"/>
      <c r="F19" s="119"/>
      <c r="G19" s="1"/>
    </row>
    <row r="20" spans="1:7" x14ac:dyDescent="0.25">
      <c r="A20" s="1"/>
      <c r="B20" s="138" t="s">
        <v>139</v>
      </c>
      <c r="C20" s="139"/>
      <c r="D20" s="140"/>
      <c r="E20" s="8">
        <v>0</v>
      </c>
      <c r="F20" s="12" t="s">
        <v>3</v>
      </c>
      <c r="G20" s="1"/>
    </row>
    <row r="21" spans="1:7" x14ac:dyDescent="0.25">
      <c r="A21" s="1"/>
      <c r="B21" s="109" t="s">
        <v>54</v>
      </c>
      <c r="C21" s="110"/>
      <c r="D21" s="111"/>
      <c r="E21" s="8">
        <f>-E20*'Fane 13. Nøgletal'!C20</f>
        <v>0</v>
      </c>
      <c r="F21" s="12" t="s">
        <v>3</v>
      </c>
      <c r="G21" s="1"/>
    </row>
    <row r="22" spans="1:7" x14ac:dyDescent="0.25">
      <c r="A22" s="1"/>
      <c r="B22" s="117" t="s">
        <v>85</v>
      </c>
      <c r="C22" s="118"/>
      <c r="D22" s="119"/>
      <c r="E22" s="10">
        <f>SUM(E20:E21)*(1+'Fane 13. Nøgletal'!C15)^4</f>
        <v>0</v>
      </c>
      <c r="F22" s="11" t="s">
        <v>3</v>
      </c>
      <c r="G22" s="1"/>
    </row>
    <row r="23" spans="1:7" x14ac:dyDescent="0.25">
      <c r="A23" s="1"/>
      <c r="B23" s="1"/>
      <c r="C23" s="1"/>
      <c r="D23" s="1"/>
      <c r="E23" s="1"/>
      <c r="F23" s="1"/>
      <c r="G23" s="1"/>
    </row>
    <row r="24" spans="1:7" ht="15" customHeight="1" x14ac:dyDescent="0.25">
      <c r="A24" s="1"/>
      <c r="B24" s="117" t="s">
        <v>129</v>
      </c>
      <c r="C24" s="118"/>
      <c r="D24" s="118"/>
      <c r="E24" s="118"/>
      <c r="F24" s="119"/>
      <c r="G24" s="1"/>
    </row>
    <row r="25" spans="1:7" ht="14.25" customHeight="1" x14ac:dyDescent="0.25">
      <c r="A25" s="1"/>
      <c r="B25" s="138" t="s">
        <v>139</v>
      </c>
      <c r="C25" s="139"/>
      <c r="D25" s="140"/>
      <c r="E25" s="8">
        <v>0</v>
      </c>
      <c r="F25" s="12" t="s">
        <v>3</v>
      </c>
      <c r="G25" s="1"/>
    </row>
    <row r="26" spans="1:7" x14ac:dyDescent="0.25">
      <c r="A26" s="1"/>
      <c r="B26" s="109" t="s">
        <v>54</v>
      </c>
      <c r="C26" s="110"/>
      <c r="D26" s="111"/>
      <c r="E26" s="8">
        <f>-E25*'Fane 13. Nøgletal'!C20</f>
        <v>0</v>
      </c>
      <c r="F26" s="12" t="s">
        <v>3</v>
      </c>
      <c r="G26" s="1"/>
    </row>
    <row r="27" spans="1:7" x14ac:dyDescent="0.25">
      <c r="A27" s="1"/>
      <c r="B27" s="117" t="s">
        <v>130</v>
      </c>
      <c r="C27" s="118"/>
      <c r="D27" s="119"/>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B7xseudgF455rQz5bj821DlA3zOYkVTPz1Am4v8zVee5ppIAe8bq8imReUxUmzY0+c3Vm7Wxsmq+QRyQadNwA==" saltValue="b6dSaHuSPqF76PqqhupeOA=="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158</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69</v>
      </c>
      <c r="C8" s="118"/>
      <c r="D8" s="118"/>
      <c r="E8" s="118"/>
      <c r="F8" s="119"/>
      <c r="G8" s="1"/>
    </row>
    <row r="9" spans="1:7" ht="15" customHeight="1" x14ac:dyDescent="0.25">
      <c r="A9" s="1"/>
      <c r="B9" s="79" t="s">
        <v>70</v>
      </c>
      <c r="C9" s="144" t="s">
        <v>9</v>
      </c>
      <c r="D9" s="145"/>
      <c r="E9" s="144" t="s">
        <v>25</v>
      </c>
      <c r="F9" s="145"/>
      <c r="G9" s="1"/>
    </row>
    <row r="10" spans="1:7" x14ac:dyDescent="0.25">
      <c r="A10" s="1"/>
      <c r="B10" s="20" t="s">
        <v>169</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RNldjmWvtXUUlEHtrKaSLEk1N8BmqW4jcBwN0PKAK/YHZgculqE94wAnKAkG6ZJepk153SlCMCHvnQEj0l/IQ==" saltValue="q+b+kpsB7bUAfGKZGBQi0w=="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159</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45</v>
      </c>
      <c r="C9" s="118"/>
      <c r="D9" s="118"/>
      <c r="E9" s="118"/>
      <c r="F9" s="119"/>
      <c r="G9" s="1"/>
    </row>
    <row r="10" spans="1:7" ht="15" customHeight="1" x14ac:dyDescent="0.25">
      <c r="A10" s="1"/>
      <c r="B10" s="79" t="s">
        <v>16</v>
      </c>
      <c r="C10" s="79" t="s">
        <v>9</v>
      </c>
      <c r="D10" s="80"/>
      <c r="E10" s="79" t="s">
        <v>25</v>
      </c>
      <c r="F10" s="80"/>
      <c r="G10" s="1"/>
    </row>
    <row r="11" spans="1:7" x14ac:dyDescent="0.25">
      <c r="A11" s="1"/>
      <c r="B11" s="20" t="s">
        <v>94</v>
      </c>
      <c r="C11" s="8">
        <v>0</v>
      </c>
      <c r="D11" s="12" t="s">
        <v>3</v>
      </c>
      <c r="E11" s="8">
        <v>0</v>
      </c>
      <c r="F11" s="12" t="s">
        <v>3</v>
      </c>
      <c r="G11" s="1"/>
    </row>
    <row r="12" spans="1:7" x14ac:dyDescent="0.25">
      <c r="A12" s="1"/>
      <c r="B12" s="81" t="s">
        <v>138</v>
      </c>
      <c r="C12" s="10">
        <f>SUM(C11:C11)</f>
        <v>0</v>
      </c>
      <c r="D12" s="11" t="s">
        <v>3</v>
      </c>
      <c r="E12" s="10">
        <f>SUM(E11:E11)</f>
        <v>0</v>
      </c>
      <c r="F12" s="11" t="s">
        <v>3</v>
      </c>
      <c r="G12" s="1"/>
    </row>
    <row r="13" spans="1:7" x14ac:dyDescent="0.25">
      <c r="A13" s="1"/>
      <c r="B13" s="81"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3"/>
      <c r="C21" s="143"/>
      <c r="D21" s="143"/>
      <c r="E21" s="143"/>
      <c r="F21" s="143"/>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3"/>
      <c r="C27" s="143"/>
      <c r="D27" s="143"/>
      <c r="E27" s="143"/>
      <c r="F27" s="143"/>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fNVedzNG6CTnFRZ6s9Pt2tzYdcGkJvqhPF6E49/37BrYj5spC4phRatgfMdv6WkFQ3FLVGG5t8MNbnis+vc6ag==" saltValue="MSQOpMyzwFsCiyi3W7hz6A=="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51"/>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160</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1" t="s">
        <v>12</v>
      </c>
      <c r="C8" s="82"/>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1"/>
      <c r="C16" s="82"/>
      <c r="D16" s="1"/>
    </row>
    <row r="17" spans="1:4" x14ac:dyDescent="0.25">
      <c r="A17" s="1"/>
      <c r="B17" s="1"/>
      <c r="C17" s="1"/>
      <c r="D17" s="1"/>
    </row>
    <row r="18" spans="1:4" x14ac:dyDescent="0.25">
      <c r="A18" s="1"/>
      <c r="B18" s="1"/>
      <c r="C18" s="1"/>
      <c r="D18" s="1"/>
    </row>
    <row r="19" spans="1:4" x14ac:dyDescent="0.25">
      <c r="A19" s="1"/>
      <c r="B19" s="81" t="s">
        <v>54</v>
      </c>
      <c r="C19" s="82"/>
      <c r="D19" s="1"/>
    </row>
    <row r="20" spans="1:4" x14ac:dyDescent="0.25">
      <c r="A20" s="1"/>
      <c r="B20" s="23" t="s">
        <v>60</v>
      </c>
      <c r="C20" s="21">
        <v>1.7000000000000001E-2</v>
      </c>
      <c r="D20" s="1"/>
    </row>
    <row r="21" spans="1:4" x14ac:dyDescent="0.25">
      <c r="A21" s="1"/>
      <c r="B21" s="146"/>
      <c r="C21" s="147"/>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sheetData>
  <sheetProtection algorithmName="SHA-512" hashValue="UsUGT1M3GIvd9yBeQqdWdHQV/DoixEsUDlxwQb7uXls6OS0GxHSt1Z4xnQb8k5rY6t7Tg1qNQnUnJM3M3/sDDA==" saltValue="1/d1YVHiQ+rnDuHnlhiNNA=="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2.5703125" style="2" customWidth="1"/>
    <col min="3" max="3" width="9.140625" style="2" hidden="1" customWidth="1"/>
    <col min="4" max="4" width="27.140625" style="2" hidden="1" customWidth="1"/>
    <col min="5" max="5" width="13.710937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104</v>
      </c>
      <c r="C3" s="101"/>
      <c r="D3" s="101"/>
      <c r="E3" s="101"/>
      <c r="F3" s="101"/>
      <c r="G3" s="1"/>
    </row>
    <row r="4" spans="1:7" ht="15" customHeight="1" x14ac:dyDescent="0.25">
      <c r="A4" s="1"/>
      <c r="B4" s="101"/>
      <c r="C4" s="101"/>
      <c r="D4" s="101"/>
      <c r="E4" s="101"/>
      <c r="F4" s="101"/>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27" t="s">
        <v>11</v>
      </c>
      <c r="C8" s="27"/>
      <c r="D8" s="27"/>
      <c r="E8" s="27"/>
      <c r="F8" s="27"/>
      <c r="G8" s="1"/>
    </row>
    <row r="9" spans="1:7" x14ac:dyDescent="0.25">
      <c r="A9" s="1"/>
      <c r="B9" s="65" t="s">
        <v>79</v>
      </c>
      <c r="C9" s="65"/>
      <c r="D9" s="65"/>
      <c r="E9" s="7">
        <f>'Fane 3. Omkostninger i ØR2022'!$E$16</f>
        <v>8756180.8749935851</v>
      </c>
      <c r="F9" s="65" t="s">
        <v>3</v>
      </c>
      <c r="G9" s="1"/>
    </row>
    <row r="10" spans="1:7" x14ac:dyDescent="0.25">
      <c r="A10" s="1"/>
      <c r="B10" s="63" t="s">
        <v>137</v>
      </c>
      <c r="C10" s="65"/>
      <c r="D10" s="65"/>
      <c r="E10" s="7">
        <f>'Fane 3. Omkostninger i ØR2022'!E10*(1+'Fane 13. Nøgletal'!C13)*(1-'Fane 13. Nøgletal'!C20)</f>
        <v>12768.29958629389</v>
      </c>
      <c r="F10" s="65" t="s">
        <v>3</v>
      </c>
      <c r="G10" s="1"/>
    </row>
    <row r="11" spans="1:7" x14ac:dyDescent="0.25">
      <c r="A11" s="1"/>
      <c r="B11" s="32" t="s">
        <v>89</v>
      </c>
      <c r="C11" s="65"/>
      <c r="D11" s="65"/>
      <c r="E11" s="7">
        <f>('Fane 3. Omkostninger i ØR2022'!E11+'Fane 3. Omkostninger i ØR2022'!E12)*(1+'Fane 13. Nøgletal'!C14)*(1-'Fane 13. Nøgletal'!C20)</f>
        <v>81901.780746594799</v>
      </c>
      <c r="F11" s="65" t="s">
        <v>3</v>
      </c>
      <c r="G11" s="1"/>
    </row>
    <row r="12" spans="1:7" ht="17.100000000000001" customHeight="1" x14ac:dyDescent="0.25">
      <c r="A12" s="1"/>
      <c r="B12" s="24" t="s">
        <v>61</v>
      </c>
      <c r="C12" s="65"/>
      <c r="D12" s="65"/>
      <c r="E12" s="7">
        <f>'Fane 9.1. Varige tillæg'!C13+'Fane 9.1. Varige tillæg'!E13</f>
        <v>31973.114400000006</v>
      </c>
      <c r="F12" s="65" t="s">
        <v>3</v>
      </c>
      <c r="G12" s="1"/>
    </row>
    <row r="13" spans="1:7" ht="17.100000000000001" customHeight="1" x14ac:dyDescent="0.25">
      <c r="A13" s="1"/>
      <c r="B13" s="24" t="s">
        <v>62</v>
      </c>
      <c r="C13" s="65"/>
      <c r="D13" s="65"/>
      <c r="E13" s="8">
        <f>-('Fane 12. Bortfald'!C13+'Fane 12. Bortfald'!E13)</f>
        <v>0</v>
      </c>
      <c r="F13" s="65" t="s">
        <v>3</v>
      </c>
      <c r="G13" s="1"/>
    </row>
    <row r="14" spans="1:7" ht="17.100000000000001" customHeight="1" x14ac:dyDescent="0.25">
      <c r="A14" s="1"/>
      <c r="B14" s="24" t="s">
        <v>64</v>
      </c>
      <c r="C14" s="65"/>
      <c r="D14" s="65"/>
      <c r="E14" s="8">
        <f>'Fane 11. Tilknyttet virksomhed'!C12+'Fane 11. Tilknyttet virksomhed'!E12</f>
        <v>0</v>
      </c>
      <c r="F14" s="65" t="s">
        <v>3</v>
      </c>
      <c r="G14" s="1"/>
    </row>
    <row r="15" spans="1:7" ht="17.100000000000001" customHeight="1" x14ac:dyDescent="0.25">
      <c r="A15" s="1"/>
      <c r="B15" s="24" t="s">
        <v>17</v>
      </c>
      <c r="C15" s="65"/>
      <c r="D15" s="65"/>
      <c r="E15" s="8">
        <f>(E9-SUM(E10:E11))*'Fane 13. Nøgletal'!C13+'Fane 2.1. Økonomisk ramme 2023'!E10*'Fane 13. Nøgletal'!C13+'Fane 2.1. Økonomisk ramme 2023'!E11*'Fane 13. Nøgletal'!C14+SUM('Fane 2.1. Økonomisk ramme 2023'!E12:E14)*'Fane 13. Nøgletal'!C15</f>
        <v>115909.00279316405</v>
      </c>
      <c r="F15" s="65" t="s">
        <v>3</v>
      </c>
      <c r="G15" s="1"/>
    </row>
    <row r="16" spans="1:7" ht="17.100000000000001" customHeight="1" x14ac:dyDescent="0.25">
      <c r="A16" s="1"/>
      <c r="B16" s="24" t="s">
        <v>54</v>
      </c>
      <c r="C16" s="65"/>
      <c r="D16" s="65"/>
      <c r="E16" s="8">
        <f>-SUM(E9,E12:E15)*'Fane 13. Nøgletal'!C20</f>
        <v>-151369.07086717474</v>
      </c>
      <c r="F16" s="65" t="s">
        <v>3</v>
      </c>
      <c r="G16" s="1"/>
    </row>
    <row r="17" spans="1:7" ht="15" customHeight="1" x14ac:dyDescent="0.25">
      <c r="A17" s="1"/>
      <c r="B17" s="74" t="s">
        <v>19</v>
      </c>
      <c r="C17" s="37"/>
      <c r="D17" s="37"/>
      <c r="E17" s="9">
        <f>SUM(E9,E12:E16)</f>
        <v>8752693.9213195741</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omk.'!C13+'Fane 4. Ikke-påvirkelige omk.'!C17+'Fane 4. Ikke-påvirkelige omk.'!C25</f>
        <v>819476.59964544012</v>
      </c>
      <c r="F19" s="28" t="s">
        <v>3</v>
      </c>
      <c r="G19" s="1"/>
    </row>
    <row r="20" spans="1:7" ht="15" customHeight="1" x14ac:dyDescent="0.25">
      <c r="A20" s="1"/>
      <c r="B20" s="27" t="s">
        <v>39</v>
      </c>
      <c r="C20" s="27"/>
      <c r="D20" s="27"/>
      <c r="E20" s="27"/>
      <c r="F20" s="27"/>
      <c r="G20" s="1"/>
    </row>
    <row r="21" spans="1:7" ht="15" customHeight="1" x14ac:dyDescent="0.25">
      <c r="A21" s="1"/>
      <c r="B21" s="74" t="s">
        <v>39</v>
      </c>
      <c r="C21" s="37"/>
      <c r="D21" s="37"/>
      <c r="E21" s="9">
        <f>'Fane 10. Periodevise driftsomk.'!E12</f>
        <v>0</v>
      </c>
      <c r="F21" s="28" t="s">
        <v>3</v>
      </c>
      <c r="G21" s="1"/>
    </row>
    <row r="22" spans="1:7" ht="15" customHeight="1" x14ac:dyDescent="0.25">
      <c r="A22" s="1"/>
      <c r="B22" s="27" t="s">
        <v>38</v>
      </c>
      <c r="C22" s="27"/>
      <c r="D22" s="27"/>
      <c r="E22" s="27"/>
      <c r="F22" s="27"/>
      <c r="G22" s="1"/>
    </row>
    <row r="23" spans="1:7" ht="15" customHeight="1" x14ac:dyDescent="0.25">
      <c r="A23" s="1"/>
      <c r="B23" s="24" t="s">
        <v>34</v>
      </c>
      <c r="C23" s="65"/>
      <c r="D23" s="65"/>
      <c r="E23" s="8">
        <f>'Fane 9.2. Engangstillæg'!C13</f>
        <v>0</v>
      </c>
      <c r="F23" s="65" t="s">
        <v>3</v>
      </c>
      <c r="G23" s="1"/>
    </row>
    <row r="24" spans="1:7" x14ac:dyDescent="0.25">
      <c r="A24" s="1"/>
      <c r="B24" s="24" t="s">
        <v>35</v>
      </c>
      <c r="C24" s="65"/>
      <c r="D24" s="65"/>
      <c r="E24" s="8">
        <f>'Fane 9.2. Engangstillæg'!E13</f>
        <v>0</v>
      </c>
      <c r="F24" s="65" t="s">
        <v>3</v>
      </c>
      <c r="G24" s="1"/>
    </row>
    <row r="25" spans="1:7" x14ac:dyDescent="0.25">
      <c r="A25" s="1"/>
      <c r="B25" s="24" t="s">
        <v>141</v>
      </c>
      <c r="C25" s="65"/>
      <c r="D25" s="65"/>
      <c r="E25" s="8">
        <f>-SUM(E23:E24)*'Fane 13. Nøgletal'!C20</f>
        <v>0</v>
      </c>
      <c r="F25" s="65" t="s">
        <v>3</v>
      </c>
      <c r="G25" s="1"/>
    </row>
    <row r="26" spans="1:7" ht="15" customHeight="1" x14ac:dyDescent="0.25">
      <c r="A26" s="1"/>
      <c r="B26" s="74" t="s">
        <v>40</v>
      </c>
      <c r="C26" s="37"/>
      <c r="D26" s="37"/>
      <c r="E26" s="9">
        <f>SUM(E23:E25)</f>
        <v>0</v>
      </c>
      <c r="F26" s="28" t="s">
        <v>3</v>
      </c>
      <c r="G26" s="1"/>
    </row>
    <row r="27" spans="1:7" x14ac:dyDescent="0.25">
      <c r="A27" s="1"/>
      <c r="B27" s="27" t="s">
        <v>73</v>
      </c>
      <c r="C27" s="22"/>
      <c r="D27" s="82"/>
      <c r="E27" s="27"/>
      <c r="F27" s="27"/>
      <c r="G27" s="1"/>
    </row>
    <row r="28" spans="1:7" x14ac:dyDescent="0.25">
      <c r="A28" s="1"/>
      <c r="B28" s="28" t="s">
        <v>28</v>
      </c>
      <c r="C28" s="28"/>
      <c r="D28" s="28"/>
      <c r="E28" s="9">
        <f>'Fane 3. Omkostninger i ØR2022'!E26</f>
        <v>-207299.89095138002</v>
      </c>
      <c r="F28" s="28" t="s">
        <v>3</v>
      </c>
      <c r="G28" s="1"/>
    </row>
    <row r="29" spans="1:7" x14ac:dyDescent="0.25">
      <c r="A29" s="1"/>
      <c r="B29" s="74" t="s">
        <v>72</v>
      </c>
      <c r="C29" s="38"/>
      <c r="D29" s="38"/>
      <c r="E29" s="9">
        <v>-72000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0</v>
      </c>
      <c r="F31" s="28" t="s">
        <v>3</v>
      </c>
      <c r="G31" s="1"/>
    </row>
    <row r="32" spans="1:7" x14ac:dyDescent="0.25">
      <c r="A32" s="1"/>
      <c r="B32" s="27" t="s">
        <v>92</v>
      </c>
      <c r="C32" s="27" t="s">
        <v>92</v>
      </c>
      <c r="D32" s="27" t="s">
        <v>92</v>
      </c>
      <c r="E32" s="27"/>
      <c r="F32" s="27"/>
      <c r="G32" s="1"/>
    </row>
    <row r="33" spans="1:7" x14ac:dyDescent="0.25">
      <c r="A33" s="1"/>
      <c r="B33" s="74" t="s">
        <v>93</v>
      </c>
      <c r="C33" s="9"/>
      <c r="D33" s="28" t="s">
        <v>3</v>
      </c>
      <c r="E33" s="9">
        <f>'Fane 7. Skattesagen'!G12</f>
        <v>0</v>
      </c>
      <c r="F33" s="28" t="s">
        <v>3</v>
      </c>
      <c r="G33" s="1"/>
    </row>
    <row r="34" spans="1:7" x14ac:dyDescent="0.25">
      <c r="A34" s="1"/>
      <c r="B34" s="27" t="s">
        <v>42</v>
      </c>
      <c r="C34" s="27"/>
      <c r="D34" s="27"/>
      <c r="E34" s="10">
        <f>SUM(E17,E19,E21,E26,E28,E29,E31,E33)</f>
        <v>9292870.6300136335</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xj5502ryuZfZRGZKj9aNIlvQ/wvwTnSnZz9Akvm+lW4uwttP751jy7DyqEQSPEuLidp2JFvte2dL448/Fw5Yw==" saltValue="ZTM8BAWzCnvKG0QGJWEwsQ=="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105</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5" t="s">
        <v>106</v>
      </c>
      <c r="C9" s="65"/>
      <c r="D9" s="65"/>
      <c r="E9" s="7">
        <f>'Fane 2.1. Økonomisk ramme 2023'!E17</f>
        <v>8752693.9213195741</v>
      </c>
      <c r="F9" s="65" t="s">
        <v>3</v>
      </c>
      <c r="G9" s="1"/>
    </row>
    <row r="10" spans="1:7" ht="15" customHeight="1" x14ac:dyDescent="0.25">
      <c r="A10" s="1"/>
      <c r="B10" s="63" t="s">
        <v>17</v>
      </c>
      <c r="C10" s="65"/>
      <c r="D10" s="65"/>
      <c r="E10" s="8">
        <f>SUM(E9:E9)*'Fane 13. Nøgletal'!C15</f>
        <v>311595.90359897685</v>
      </c>
      <c r="F10" s="65" t="s">
        <v>3</v>
      </c>
      <c r="G10" s="1"/>
    </row>
    <row r="11" spans="1:7" ht="15" customHeight="1" x14ac:dyDescent="0.25">
      <c r="A11" s="1"/>
      <c r="B11" s="63" t="s">
        <v>54</v>
      </c>
      <c r="C11" s="65"/>
      <c r="D11" s="65"/>
      <c r="E11" s="8">
        <f>-SUM(E9,E10)*'Fane 13. Nøgletal'!C20</f>
        <v>-154092.9270236154</v>
      </c>
      <c r="F11" s="65" t="s">
        <v>3</v>
      </c>
      <c r="G11" s="1"/>
    </row>
    <row r="12" spans="1:7" ht="15" customHeight="1" x14ac:dyDescent="0.25">
      <c r="A12" s="1"/>
      <c r="B12" s="37" t="s">
        <v>19</v>
      </c>
      <c r="C12" s="37"/>
      <c r="D12" s="37"/>
      <c r="E12" s="9">
        <f>SUM(E9:E11)</f>
        <v>8910196.8978949357</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omk.'!C13*(1+'Fane 13. Nøgletal'!C15)+'Fane 4. Ikke-påvirkelige omk.'!C18+'Fane 4. Ikke-påvirkelige omk.'!C26</f>
        <v>848649.9665928178</v>
      </c>
      <c r="F14" s="28" t="s">
        <v>3</v>
      </c>
      <c r="G14" s="1"/>
    </row>
    <row r="15" spans="1:7" ht="15" customHeight="1" x14ac:dyDescent="0.25">
      <c r="A15" s="1"/>
      <c r="B15" s="27" t="s">
        <v>39</v>
      </c>
      <c r="C15" s="27"/>
      <c r="D15" s="27"/>
      <c r="E15" s="27"/>
      <c r="F15" s="27"/>
      <c r="G15" s="1"/>
    </row>
    <row r="16" spans="1:7" ht="15" customHeight="1" x14ac:dyDescent="0.25">
      <c r="A16" s="1"/>
      <c r="B16" s="74" t="s">
        <v>39</v>
      </c>
      <c r="C16" s="37"/>
      <c r="D16" s="37"/>
      <c r="E16" s="9">
        <f>'Fane 10. Periodevise driftsomk.'!E17</f>
        <v>0</v>
      </c>
      <c r="F16" s="28" t="s">
        <v>3</v>
      </c>
      <c r="G16" s="1"/>
    </row>
    <row r="17" spans="1:7" x14ac:dyDescent="0.25">
      <c r="A17" s="1"/>
      <c r="B17" s="27" t="s">
        <v>73</v>
      </c>
      <c r="C17" s="22"/>
      <c r="D17" s="82"/>
      <c r="E17" s="27"/>
      <c r="F17" s="27"/>
      <c r="G17" s="1"/>
    </row>
    <row r="18" spans="1:7" x14ac:dyDescent="0.25">
      <c r="A18" s="1"/>
      <c r="B18" s="74" t="s">
        <v>72</v>
      </c>
      <c r="C18" s="38">
        <f>'Fane 5. Kontrol af ØR2021'!C32</f>
        <v>0</v>
      </c>
      <c r="D18" s="38"/>
      <c r="E18" s="9">
        <f>'Fane 5. Kontrol af ØR2021'!E32</f>
        <v>-269069.84268199513</v>
      </c>
      <c r="F18" s="28" t="s">
        <v>3</v>
      </c>
      <c r="G18" s="1"/>
    </row>
    <row r="19" spans="1:7" x14ac:dyDescent="0.25">
      <c r="A19" s="1"/>
      <c r="B19" s="27" t="s">
        <v>92</v>
      </c>
      <c r="C19" s="27" t="s">
        <v>92</v>
      </c>
      <c r="D19" s="27" t="s">
        <v>92</v>
      </c>
      <c r="E19" s="27"/>
      <c r="F19" s="27"/>
      <c r="G19" s="1"/>
    </row>
    <row r="20" spans="1:7" x14ac:dyDescent="0.25">
      <c r="A20" s="1"/>
      <c r="B20" s="74" t="s">
        <v>93</v>
      </c>
      <c r="C20" s="9"/>
      <c r="D20" s="28" t="s">
        <v>3</v>
      </c>
      <c r="E20" s="9">
        <f>'Fane 7. Skattesagen'!G13</f>
        <v>0</v>
      </c>
      <c r="F20" s="28" t="s">
        <v>3</v>
      </c>
      <c r="G20" s="1"/>
    </row>
    <row r="21" spans="1:7" x14ac:dyDescent="0.25">
      <c r="A21" s="1"/>
      <c r="B21" s="27" t="s">
        <v>65</v>
      </c>
      <c r="C21" s="27"/>
      <c r="D21" s="27"/>
      <c r="E21" s="10">
        <f>SUM(E12,E14,E16,E18,E20)</f>
        <v>9489777.0218057595</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6jotDTCH8q49Zz5Y1BhJFa0Z2YPHI1pVjlSUjXm8zaKrytY1MBp/ik+A5makGYHdLEG8JFvol4lIIekKVBQIlA==" saltValue="wrPlMm7pXCfG6daAWF8T6A=="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107</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80</v>
      </c>
      <c r="C8" s="65"/>
      <c r="D8" s="65"/>
      <c r="E8" s="7">
        <f>'Fane 2.2. Økonomisk ramme 2024'!E12</f>
        <v>8910196.8978949357</v>
      </c>
      <c r="F8" s="65" t="s">
        <v>3</v>
      </c>
      <c r="G8" s="1"/>
    </row>
    <row r="9" spans="1:7" ht="15" customHeight="1" x14ac:dyDescent="0.25">
      <c r="A9" s="1"/>
      <c r="B9" s="63" t="s">
        <v>17</v>
      </c>
      <c r="C9" s="65"/>
      <c r="D9" s="65"/>
      <c r="E9" s="8">
        <f>SUM(E8:E8)*('Fane 13. Nøgletal'!C15)</f>
        <v>317203.00956505974</v>
      </c>
      <c r="F9" s="65" t="s">
        <v>3</v>
      </c>
      <c r="G9" s="1"/>
    </row>
    <row r="10" spans="1:7" x14ac:dyDescent="0.25">
      <c r="A10" s="1"/>
      <c r="B10" s="63" t="s">
        <v>54</v>
      </c>
      <c r="C10" s="65"/>
      <c r="D10" s="65"/>
      <c r="E10" s="8">
        <f>-SUM(E8:E9)*'Fane 13. Nøgletal'!C20</f>
        <v>-156865.79842681994</v>
      </c>
      <c r="F10" s="65" t="s">
        <v>3</v>
      </c>
      <c r="G10" s="1"/>
    </row>
    <row r="11" spans="1:7" x14ac:dyDescent="0.25">
      <c r="A11" s="1"/>
      <c r="B11" s="37" t="s">
        <v>19</v>
      </c>
      <c r="C11" s="37"/>
      <c r="D11" s="37"/>
      <c r="E11" s="9">
        <f>SUM(E8:E10)</f>
        <v>9070534.1090331748</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omk.'!C13*(1+'Fane 13. Nøgletal'!C15)^2+'Fane 4. Ikke-påvirkelige omk.'!C19+'Fane 4. Ikke-påvirkelige omk.'!C27</f>
        <v>878861.90540352219</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-269069.84268199513</v>
      </c>
      <c r="F17" s="28" t="s">
        <v>3</v>
      </c>
      <c r="G17" s="1"/>
    </row>
    <row r="18" spans="1:7" x14ac:dyDescent="0.25">
      <c r="A18" s="1"/>
      <c r="B18" s="27" t="s">
        <v>92</v>
      </c>
      <c r="C18" s="27" t="s">
        <v>92</v>
      </c>
      <c r="D18" s="27" t="s">
        <v>92</v>
      </c>
      <c r="E18" s="27"/>
      <c r="F18" s="27"/>
      <c r="G18" s="1"/>
    </row>
    <row r="19" spans="1:7" x14ac:dyDescent="0.25">
      <c r="A19" s="1"/>
      <c r="B19" s="74" t="s">
        <v>93</v>
      </c>
      <c r="C19" s="9"/>
      <c r="D19" s="28" t="s">
        <v>3</v>
      </c>
      <c r="E19" s="9">
        <f>'Fane 7. Skattesagen'!G14</f>
        <v>0</v>
      </c>
      <c r="F19" s="28" t="s">
        <v>3</v>
      </c>
      <c r="G19" s="1"/>
    </row>
    <row r="20" spans="1:7" x14ac:dyDescent="0.25">
      <c r="A20" s="1"/>
      <c r="B20" s="27" t="s">
        <v>81</v>
      </c>
      <c r="C20" s="27"/>
      <c r="D20" s="27"/>
      <c r="E20" s="10">
        <f>SUM(E11,E13,E15,E17,E19)</f>
        <v>9680326.1717547029</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yMkmn63LTD4o0Z2tta5ZpgVktFQpmEUTDzJyo6fHRx7xLiQ91h/2uMJHu7NvVCup+oNS0+wYENT/PsWJw/Lo0A==" saltValue="hOzprzT15FNFs0yWc4y2tA=="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109</v>
      </c>
      <c r="C3" s="101"/>
      <c r="D3" s="101"/>
      <c r="E3" s="101"/>
      <c r="F3" s="101"/>
      <c r="G3" s="1"/>
    </row>
    <row r="4" spans="1:7" ht="15" customHeight="1" x14ac:dyDescent="0.25">
      <c r="A4" s="1"/>
      <c r="B4" s="101"/>
      <c r="C4" s="101"/>
      <c r="D4" s="101"/>
      <c r="E4" s="101"/>
      <c r="F4" s="101"/>
      <c r="G4" s="1"/>
    </row>
    <row r="5" spans="1:7" x14ac:dyDescent="0.25">
      <c r="A5" s="1"/>
      <c r="B5" s="102" t="s">
        <v>20</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5" t="s">
        <v>108</v>
      </c>
      <c r="C8" s="65"/>
      <c r="D8" s="65"/>
      <c r="E8" s="7">
        <f>'Fane 2.3. Økonomisk ramme 2025'!E11</f>
        <v>9070534.1090331748</v>
      </c>
      <c r="F8" s="65" t="s">
        <v>3</v>
      </c>
      <c r="G8" s="1"/>
    </row>
    <row r="9" spans="1:7" ht="15" customHeight="1" x14ac:dyDescent="0.25">
      <c r="A9" s="1"/>
      <c r="B9" s="63" t="s">
        <v>17</v>
      </c>
      <c r="C9" s="65"/>
      <c r="D9" s="65"/>
      <c r="E9" s="8">
        <f>SUM(E8:E8)*'Fane 13. Nøgletal'!C15</f>
        <v>322911.01428158104</v>
      </c>
      <c r="F9" s="65" t="s">
        <v>3</v>
      </c>
      <c r="G9" s="1"/>
    </row>
    <row r="10" spans="1:7" ht="15" customHeight="1" x14ac:dyDescent="0.25">
      <c r="A10" s="1"/>
      <c r="B10" s="63" t="s">
        <v>54</v>
      </c>
      <c r="C10" s="65"/>
      <c r="D10" s="65"/>
      <c r="E10" s="8">
        <f>-SUM(E8:E9)*'Fane 13. Nøgletal'!C20</f>
        <v>-159688.56709635086</v>
      </c>
      <c r="F10" s="65" t="s">
        <v>3</v>
      </c>
      <c r="G10" s="1"/>
    </row>
    <row r="11" spans="1:7" x14ac:dyDescent="0.25">
      <c r="A11" s="1"/>
      <c r="B11" s="37" t="s">
        <v>19</v>
      </c>
      <c r="C11" s="37"/>
      <c r="D11" s="37"/>
      <c r="E11" s="9">
        <f>SUM(E8:E10)</f>
        <v>9233756.5562184043</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omk.'!C13*(1+'Fane 13. Nøgletal'!C15)^3+'Fane 4. Ikke-påvirkelige omk.'!C20+'Fane 4. Ikke-påvirkelige omk.'!C28</f>
        <v>910149.38923588768</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-269069.84268199513</v>
      </c>
      <c r="F17" s="28" t="s">
        <v>3</v>
      </c>
      <c r="G17" s="1"/>
    </row>
    <row r="18" spans="1:7" ht="15" customHeight="1" x14ac:dyDescent="0.25">
      <c r="A18" s="1"/>
      <c r="B18" s="27" t="s">
        <v>92</v>
      </c>
      <c r="C18" s="27" t="s">
        <v>92</v>
      </c>
      <c r="D18" s="27" t="s">
        <v>92</v>
      </c>
      <c r="E18" s="27"/>
      <c r="F18" s="27"/>
      <c r="G18" s="1"/>
    </row>
    <row r="19" spans="1:7" ht="15" customHeight="1" x14ac:dyDescent="0.25">
      <c r="A19" s="1"/>
      <c r="B19" s="74" t="s">
        <v>93</v>
      </c>
      <c r="C19" s="9"/>
      <c r="D19" s="28" t="s">
        <v>3</v>
      </c>
      <c r="E19" s="9">
        <f>'Fane 7. Skattesagen'!G15</f>
        <v>0</v>
      </c>
      <c r="F19" s="28" t="s">
        <v>3</v>
      </c>
      <c r="G19" s="1"/>
    </row>
    <row r="20" spans="1:7" x14ac:dyDescent="0.25">
      <c r="A20" s="1"/>
      <c r="B20" s="27" t="s">
        <v>110</v>
      </c>
      <c r="C20" s="27"/>
      <c r="D20" s="27"/>
      <c r="E20" s="10">
        <f>SUM(E11,E13,E15,E17,E19)</f>
        <v>9874836.1027722973</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BktLHsBUKEXF6JNsDKRWiId545UOeXzfZ3GKwEy3vLMLxG4fPf0N4s2qhvYno8MNdlDDiDBaMKPycBlq5FbEQ==" saltValue="BUAoLJNOmG7EUS+LHJWFMQ=="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111</v>
      </c>
      <c r="C3" s="115"/>
      <c r="D3" s="115"/>
      <c r="E3" s="115"/>
      <c r="F3" s="115"/>
      <c r="G3" s="1"/>
    </row>
    <row r="4" spans="1:7" ht="29.2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16" t="s">
        <v>22</v>
      </c>
      <c r="C9" s="116"/>
      <c r="D9" s="116"/>
      <c r="E9" s="7">
        <v>8709328.9175427482</v>
      </c>
      <c r="F9" s="65" t="s">
        <v>3</v>
      </c>
      <c r="G9" s="1"/>
    </row>
    <row r="10" spans="1:7" x14ac:dyDescent="0.25">
      <c r="A10" s="1"/>
      <c r="B10" s="109" t="s">
        <v>137</v>
      </c>
      <c r="C10" s="110"/>
      <c r="D10" s="111"/>
      <c r="E10" s="7">
        <v>12819.891959495682</v>
      </c>
      <c r="F10" s="65" t="s">
        <v>3</v>
      </c>
      <c r="G10" s="1"/>
    </row>
    <row r="11" spans="1:7" x14ac:dyDescent="0.25">
      <c r="A11" s="1"/>
      <c r="B11" s="107" t="s">
        <v>61</v>
      </c>
      <c r="C11" s="107"/>
      <c r="D11" s="107"/>
      <c r="E11" s="7">
        <v>83044.144300000014</v>
      </c>
      <c r="F11" s="65" t="s">
        <v>3</v>
      </c>
      <c r="G11" s="1"/>
    </row>
    <row r="12" spans="1:7" x14ac:dyDescent="0.25">
      <c r="A12" s="1"/>
      <c r="B12" s="107" t="s">
        <v>62</v>
      </c>
      <c r="C12" s="107"/>
      <c r="D12" s="107"/>
      <c r="E12" s="8">
        <v>0</v>
      </c>
      <c r="F12" s="65" t="s">
        <v>3</v>
      </c>
      <c r="G12" s="1"/>
    </row>
    <row r="13" spans="1:7" x14ac:dyDescent="0.25">
      <c r="A13" s="1"/>
      <c r="B13" s="107" t="s">
        <v>64</v>
      </c>
      <c r="C13" s="107"/>
      <c r="D13" s="107"/>
      <c r="E13" s="8">
        <v>0</v>
      </c>
      <c r="F13" s="65" t="s">
        <v>3</v>
      </c>
      <c r="G13" s="1"/>
    </row>
    <row r="14" spans="1:7" x14ac:dyDescent="0.25">
      <c r="A14" s="1"/>
      <c r="B14" s="107" t="s">
        <v>17</v>
      </c>
      <c r="C14" s="107"/>
      <c r="D14" s="107"/>
      <c r="E14" s="8">
        <f>E9*'Fane 13. Nøgletal'!C13+SUM(E11:E13)*'Fane 13. Nøgletal'!C14</f>
        <v>115237.18738775427</v>
      </c>
      <c r="F14" s="65" t="s">
        <v>3</v>
      </c>
      <c r="G14" s="1"/>
    </row>
    <row r="15" spans="1:7" x14ac:dyDescent="0.25">
      <c r="A15" s="1"/>
      <c r="B15" s="107" t="s">
        <v>54</v>
      </c>
      <c r="C15" s="107"/>
      <c r="D15" s="107"/>
      <c r="E15" s="8">
        <f>-SUM(E9,E11:E14)*'Fane 13. Nøgletal'!C20</f>
        <v>-151429.37423691858</v>
      </c>
      <c r="F15" s="65" t="s">
        <v>3</v>
      </c>
      <c r="G15" s="1"/>
    </row>
    <row r="16" spans="1:7" x14ac:dyDescent="0.25">
      <c r="A16" s="1"/>
      <c r="B16" s="108" t="s">
        <v>19</v>
      </c>
      <c r="C16" s="108"/>
      <c r="D16" s="108"/>
      <c r="E16" s="41">
        <f>SUM(E9,E11:E15)</f>
        <v>8756180.8749935851</v>
      </c>
      <c r="F16" s="42" t="s">
        <v>3</v>
      </c>
      <c r="G16" s="1"/>
    </row>
    <row r="17" spans="1:7" x14ac:dyDescent="0.25">
      <c r="A17" s="1"/>
      <c r="B17" s="27" t="s">
        <v>10</v>
      </c>
      <c r="C17" s="22"/>
      <c r="D17" s="22"/>
      <c r="E17" s="22"/>
      <c r="F17" s="82"/>
      <c r="G17" s="1"/>
    </row>
    <row r="18" spans="1:7" ht="14.25" customHeight="1" x14ac:dyDescent="0.25">
      <c r="A18" s="1"/>
      <c r="B18" s="104" t="s">
        <v>10</v>
      </c>
      <c r="C18" s="105"/>
      <c r="D18" s="106"/>
      <c r="E18" s="9">
        <v>770686.46265625011</v>
      </c>
      <c r="F18" s="9" t="s">
        <v>3</v>
      </c>
      <c r="G18" s="1"/>
    </row>
    <row r="19" spans="1:7" ht="14.25" customHeight="1" x14ac:dyDescent="0.25">
      <c r="A19" s="1"/>
      <c r="B19" s="27" t="s">
        <v>39</v>
      </c>
      <c r="C19" s="27"/>
      <c r="D19" s="27"/>
      <c r="E19" s="22"/>
      <c r="F19" s="82"/>
      <c r="G19" s="1"/>
    </row>
    <row r="20" spans="1:7" x14ac:dyDescent="0.25">
      <c r="A20" s="1"/>
      <c r="B20" s="74" t="s">
        <v>39</v>
      </c>
      <c r="C20" s="29"/>
      <c r="D20" s="30"/>
      <c r="E20" s="9">
        <v>0</v>
      </c>
      <c r="F20" s="28" t="s">
        <v>3</v>
      </c>
      <c r="G20" s="1"/>
    </row>
    <row r="21" spans="1:7" x14ac:dyDescent="0.25">
      <c r="A21" s="1"/>
      <c r="B21" s="27" t="s">
        <v>38</v>
      </c>
      <c r="C21" s="27"/>
      <c r="D21" s="27"/>
      <c r="E21" s="22"/>
      <c r="F21" s="82"/>
      <c r="G21" s="1"/>
    </row>
    <row r="22" spans="1:7" ht="15.4" customHeight="1" x14ac:dyDescent="0.25">
      <c r="A22" s="1"/>
      <c r="B22" s="109" t="s">
        <v>34</v>
      </c>
      <c r="C22" s="110"/>
      <c r="D22" s="111"/>
      <c r="E22" s="33">
        <v>0</v>
      </c>
      <c r="F22" s="31" t="s">
        <v>3</v>
      </c>
      <c r="G22" s="1"/>
    </row>
    <row r="23" spans="1:7" ht="15.75" customHeight="1" x14ac:dyDescent="0.25">
      <c r="A23" s="1"/>
      <c r="B23" s="109" t="s">
        <v>35</v>
      </c>
      <c r="C23" s="110"/>
      <c r="D23" s="111"/>
      <c r="E23" s="33">
        <v>0</v>
      </c>
      <c r="F23" s="31" t="s">
        <v>3</v>
      </c>
      <c r="G23" s="1"/>
    </row>
    <row r="24" spans="1:7" x14ac:dyDescent="0.25">
      <c r="A24" s="1"/>
      <c r="B24" s="112" t="s">
        <v>40</v>
      </c>
      <c r="C24" s="113"/>
      <c r="D24" s="114"/>
      <c r="E24" s="148">
        <f>SUM(E22:E23)</f>
        <v>0</v>
      </c>
      <c r="F24" s="9" t="s">
        <v>3</v>
      </c>
      <c r="G24" s="1"/>
    </row>
    <row r="25" spans="1:7" x14ac:dyDescent="0.25">
      <c r="A25" s="1"/>
      <c r="B25" s="27" t="s">
        <v>73</v>
      </c>
      <c r="C25" s="27"/>
      <c r="D25" s="27"/>
      <c r="E25" s="22"/>
      <c r="F25" s="82"/>
      <c r="G25" s="1"/>
    </row>
    <row r="26" spans="1:7" x14ac:dyDescent="0.25">
      <c r="A26" s="1"/>
      <c r="B26" s="104" t="s">
        <v>28</v>
      </c>
      <c r="C26" s="105"/>
      <c r="D26" s="106"/>
      <c r="E26" s="9">
        <v>-207299.89095138002</v>
      </c>
      <c r="F26" s="28" t="s">
        <v>3</v>
      </c>
      <c r="G26" s="1"/>
    </row>
    <row r="27" spans="1:7" ht="14.25" customHeight="1" x14ac:dyDescent="0.25">
      <c r="A27" s="1"/>
      <c r="B27" s="104" t="s">
        <v>72</v>
      </c>
      <c r="C27" s="105"/>
      <c r="D27" s="106"/>
      <c r="E27" s="9">
        <v>-72000</v>
      </c>
      <c r="F27" s="28" t="s">
        <v>3</v>
      </c>
      <c r="G27" s="1"/>
    </row>
    <row r="28" spans="1:7" x14ac:dyDescent="0.25">
      <c r="A28" s="1"/>
      <c r="B28" s="27" t="s">
        <v>77</v>
      </c>
      <c r="C28" s="27"/>
      <c r="D28" s="27"/>
      <c r="E28" s="22"/>
      <c r="F28" s="82"/>
      <c r="G28" s="1"/>
    </row>
    <row r="29" spans="1:7" ht="15.75" customHeight="1" x14ac:dyDescent="0.25">
      <c r="A29" s="1"/>
      <c r="B29" s="104" t="s">
        <v>77</v>
      </c>
      <c r="C29" s="105"/>
      <c r="D29" s="106"/>
      <c r="E29" s="9">
        <v>0</v>
      </c>
      <c r="F29" s="28" t="s">
        <v>3</v>
      </c>
      <c r="G29" s="1"/>
    </row>
    <row r="30" spans="1:7" ht="15.75" customHeight="1" x14ac:dyDescent="0.25">
      <c r="A30" s="1"/>
      <c r="B30" s="27" t="s">
        <v>135</v>
      </c>
      <c r="C30" s="27"/>
      <c r="D30" s="27"/>
      <c r="E30" s="22"/>
      <c r="F30" s="82"/>
      <c r="G30" s="1"/>
    </row>
    <row r="31" spans="1:7" ht="15.75" customHeight="1" x14ac:dyDescent="0.25">
      <c r="A31" s="1"/>
      <c r="B31" s="104" t="s">
        <v>136</v>
      </c>
      <c r="C31" s="105"/>
      <c r="D31" s="106"/>
      <c r="E31" s="9">
        <f>'Fane 7. Skattesagen'!G11</f>
        <v>0</v>
      </c>
      <c r="F31" s="28" t="s">
        <v>3</v>
      </c>
      <c r="G31" s="1"/>
    </row>
    <row r="32" spans="1:7" x14ac:dyDescent="0.25">
      <c r="A32" s="1"/>
      <c r="B32" s="27" t="s">
        <v>23</v>
      </c>
      <c r="C32" s="43"/>
      <c r="D32" s="43"/>
      <c r="E32" s="44">
        <f>SUM(E16,E18,E20,E24,E26,E27,E29,E31)</f>
        <v>9247567.4466984551</v>
      </c>
      <c r="F32" s="45" t="s">
        <v>3</v>
      </c>
      <c r="G32" s="1"/>
    </row>
    <row r="33" spans="1:7" ht="28.5" customHeight="1" x14ac:dyDescent="0.25">
      <c r="A33" s="1"/>
      <c r="B33" s="103" t="s">
        <v>113</v>
      </c>
      <c r="C33" s="103"/>
      <c r="D33" s="103"/>
      <c r="E33" s="103"/>
      <c r="F33" s="103"/>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4+r/OveDCycXpPMVCrpdR8ue5KpUWNfiLOPJDsm7z+NczRgHXMfvMODlD6xTLrEAXvv3Yex4VsitbwkmzCf1jQ==" saltValue="iUsTKeaEBOI+wBAs0JbfOw=="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13:D13"/>
    <mergeCell ref="B3:F4"/>
    <mergeCell ref="B9:D9"/>
    <mergeCell ref="B11:D11"/>
    <mergeCell ref="B12:D12"/>
    <mergeCell ref="B10:D10"/>
    <mergeCell ref="B33:F33"/>
    <mergeCell ref="B29:D29"/>
    <mergeCell ref="B14:D14"/>
    <mergeCell ref="B15:D15"/>
    <mergeCell ref="B16:D16"/>
    <mergeCell ref="B18:D18"/>
    <mergeCell ref="B27:D27"/>
    <mergeCell ref="B22:D22"/>
    <mergeCell ref="B23:D23"/>
    <mergeCell ref="B24:D24"/>
    <mergeCell ref="B26:D26"/>
    <mergeCell ref="B31:D3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49"/>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50</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7" t="s">
        <v>114</v>
      </c>
      <c r="C8" s="118"/>
      <c r="D8" s="119"/>
      <c r="E8" s="1"/>
    </row>
    <row r="9" spans="1:5" ht="15" customHeight="1" x14ac:dyDescent="0.25">
      <c r="A9" s="1"/>
      <c r="B9" s="17" t="s">
        <v>26</v>
      </c>
      <c r="C9" s="28" t="s">
        <v>146</v>
      </c>
      <c r="D9" s="28"/>
      <c r="E9" s="1"/>
    </row>
    <row r="10" spans="1:5" x14ac:dyDescent="0.25">
      <c r="A10" s="1"/>
      <c r="B10" s="23" t="s">
        <v>166</v>
      </c>
      <c r="C10" s="8">
        <v>3000</v>
      </c>
      <c r="D10" s="12" t="s">
        <v>3</v>
      </c>
      <c r="E10" s="1"/>
    </row>
    <row r="11" spans="1:5" x14ac:dyDescent="0.25">
      <c r="A11" s="1"/>
      <c r="B11" s="23" t="s">
        <v>167</v>
      </c>
      <c r="C11" s="8">
        <v>761104</v>
      </c>
      <c r="D11" s="12" t="s">
        <v>3</v>
      </c>
      <c r="E11" s="1"/>
    </row>
    <row r="12" spans="1:5" x14ac:dyDescent="0.25">
      <c r="A12" s="1"/>
      <c r="B12" s="81" t="s">
        <v>115</v>
      </c>
      <c r="C12" s="10">
        <f>SUM(C10:C11)</f>
        <v>764104</v>
      </c>
      <c r="D12" s="11" t="s">
        <v>3</v>
      </c>
      <c r="E12" s="1"/>
    </row>
    <row r="13" spans="1:5" x14ac:dyDescent="0.25">
      <c r="A13" s="1"/>
      <c r="B13" s="81" t="s">
        <v>116</v>
      </c>
      <c r="C13" s="10">
        <f>C12*(1+'Fane 13. Nøgletal'!C15)^2</f>
        <v>819476.59964544012</v>
      </c>
      <c r="D13" s="11" t="s">
        <v>3</v>
      </c>
      <c r="E13" s="1"/>
    </row>
    <row r="14" spans="1:5" x14ac:dyDescent="0.25">
      <c r="A14" s="1"/>
      <c r="B14" s="14"/>
      <c r="C14" s="13"/>
      <c r="D14" s="13"/>
      <c r="E14" s="1"/>
    </row>
    <row r="15" spans="1:5" x14ac:dyDescent="0.25">
      <c r="A15" s="1"/>
      <c r="B15" s="14"/>
      <c r="C15" s="13"/>
      <c r="D15" s="13"/>
      <c r="E15" s="1"/>
    </row>
    <row r="16" spans="1:5" x14ac:dyDescent="0.25">
      <c r="A16" s="1"/>
      <c r="B16" s="117" t="s">
        <v>59</v>
      </c>
      <c r="C16" s="118"/>
      <c r="D16" s="119"/>
      <c r="E16" s="1"/>
    </row>
    <row r="17" spans="1:5" x14ac:dyDescent="0.25">
      <c r="A17" s="1"/>
      <c r="B17" s="23" t="s">
        <v>51</v>
      </c>
      <c r="C17" s="8">
        <v>0</v>
      </c>
      <c r="D17" s="12" t="s">
        <v>3</v>
      </c>
      <c r="E17" s="1"/>
    </row>
    <row r="18" spans="1:5" x14ac:dyDescent="0.25">
      <c r="A18" s="1"/>
      <c r="B18" s="23" t="s">
        <v>66</v>
      </c>
      <c r="C18" s="8">
        <v>0</v>
      </c>
      <c r="D18" s="12" t="s">
        <v>3</v>
      </c>
      <c r="E18" s="1"/>
    </row>
    <row r="19" spans="1:5" x14ac:dyDescent="0.25">
      <c r="A19" s="1"/>
      <c r="B19" s="23" t="s">
        <v>82</v>
      </c>
      <c r="C19" s="8">
        <v>0</v>
      </c>
      <c r="D19" s="12" t="s">
        <v>3</v>
      </c>
      <c r="E19" s="1"/>
    </row>
    <row r="20" spans="1:5" x14ac:dyDescent="0.25">
      <c r="A20" s="1"/>
      <c r="B20" s="25" t="s">
        <v>117</v>
      </c>
      <c r="C20" s="8">
        <v>0</v>
      </c>
      <c r="D20" s="12" t="s">
        <v>3</v>
      </c>
      <c r="E20" s="1"/>
    </row>
    <row r="21" spans="1:5" x14ac:dyDescent="0.25">
      <c r="A21" s="1"/>
      <c r="B21" s="117"/>
      <c r="C21" s="118"/>
      <c r="D21" s="119"/>
      <c r="E21" s="1"/>
    </row>
    <row r="22" spans="1:5" x14ac:dyDescent="0.25">
      <c r="A22" s="1"/>
      <c r="B22" s="1"/>
      <c r="C22" s="1"/>
      <c r="D22" s="1"/>
      <c r="E22" s="1"/>
    </row>
    <row r="23" spans="1:5" x14ac:dyDescent="0.25">
      <c r="A23" s="1"/>
      <c r="B23" s="1"/>
      <c r="C23" s="1"/>
      <c r="D23" s="1"/>
      <c r="E23" s="1"/>
    </row>
    <row r="24" spans="1:5" x14ac:dyDescent="0.25">
      <c r="A24" s="1"/>
      <c r="B24" s="117" t="s">
        <v>49</v>
      </c>
      <c r="C24" s="118"/>
      <c r="D24" s="119"/>
      <c r="E24" s="1"/>
    </row>
    <row r="25" spans="1:5" x14ac:dyDescent="0.25">
      <c r="A25" s="1"/>
      <c r="B25" s="23" t="s">
        <v>51</v>
      </c>
      <c r="C25" s="8">
        <v>0</v>
      </c>
      <c r="D25" s="12" t="s">
        <v>3</v>
      </c>
      <c r="E25" s="1"/>
    </row>
    <row r="26" spans="1:5" x14ac:dyDescent="0.25">
      <c r="A26" s="1"/>
      <c r="B26" s="23" t="s">
        <v>66</v>
      </c>
      <c r="C26" s="8">
        <v>0</v>
      </c>
      <c r="D26" s="12" t="s">
        <v>3</v>
      </c>
      <c r="E26" s="1"/>
    </row>
    <row r="27" spans="1:5" x14ac:dyDescent="0.25">
      <c r="A27" s="1"/>
      <c r="B27" s="23" t="s">
        <v>82</v>
      </c>
      <c r="C27" s="8">
        <v>0</v>
      </c>
      <c r="D27" s="12" t="s">
        <v>3</v>
      </c>
      <c r="E27" s="1"/>
    </row>
    <row r="28" spans="1:5" x14ac:dyDescent="0.25">
      <c r="A28" s="1"/>
      <c r="B28" s="25" t="s">
        <v>117</v>
      </c>
      <c r="C28" s="8">
        <v>0</v>
      </c>
      <c r="D28" s="35" t="s">
        <v>3</v>
      </c>
      <c r="E28" s="1"/>
    </row>
    <row r="29" spans="1:5" x14ac:dyDescent="0.25">
      <c r="A29" s="1"/>
      <c r="B29" s="117"/>
      <c r="C29" s="118"/>
      <c r="D29" s="119"/>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btubVtZSmBAZeTRdXnjSJ71psLaCJTTdXOT0hyIZMB//FnvNFRRzjiRoQO08w7hUzS/Nbg77hsB42ng/sDEsA==" saltValue="j8gb180rFhH/4RTw4bKCtg=="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29:D29"/>
    <mergeCell ref="B3:D4"/>
    <mergeCell ref="B8:D8"/>
    <mergeCell ref="B16:D16"/>
    <mergeCell ref="B24:D24"/>
    <mergeCell ref="B21:D21"/>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election activeCell="K1" sqref="K1"/>
    </sheetView>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188</v>
      </c>
      <c r="C3" s="115"/>
      <c r="D3" s="115"/>
      <c r="E3" s="115"/>
      <c r="F3" s="115"/>
      <c r="G3" s="1"/>
    </row>
    <row r="4" spans="1:7" ht="15" customHeight="1" x14ac:dyDescent="0.25">
      <c r="A4" s="1"/>
      <c r="B4" s="115"/>
      <c r="C4" s="115"/>
      <c r="D4" s="115"/>
      <c r="E4" s="115"/>
      <c r="F4" s="115"/>
      <c r="G4" s="1"/>
    </row>
    <row r="5" spans="1:7" ht="15" customHeight="1" x14ac:dyDescent="0.25">
      <c r="A5" s="1"/>
      <c r="B5" s="64"/>
      <c r="C5" s="64"/>
      <c r="D5" s="64"/>
      <c r="E5" s="64"/>
      <c r="F5" s="64"/>
      <c r="G5" s="1"/>
    </row>
    <row r="6" spans="1:7" ht="15" customHeight="1" x14ac:dyDescent="0.25">
      <c r="A6" s="1"/>
      <c r="B6" s="64"/>
      <c r="C6" s="64"/>
      <c r="D6" s="64"/>
      <c r="E6" s="64"/>
      <c r="F6" s="64"/>
      <c r="G6" s="1"/>
    </row>
    <row r="7" spans="1:7" x14ac:dyDescent="0.25">
      <c r="A7" s="1"/>
      <c r="B7" s="1"/>
      <c r="C7" s="1"/>
      <c r="D7" s="1"/>
      <c r="E7" s="1"/>
      <c r="F7" s="1"/>
      <c r="G7" s="1"/>
    </row>
    <row r="8" spans="1:7" x14ac:dyDescent="0.25">
      <c r="A8" s="1"/>
      <c r="B8" s="117" t="s">
        <v>95</v>
      </c>
      <c r="C8" s="118"/>
      <c r="D8" s="118"/>
      <c r="E8" s="118"/>
      <c r="F8" s="119"/>
      <c r="G8" s="1"/>
    </row>
    <row r="9" spans="1:7" x14ac:dyDescent="0.25">
      <c r="A9" s="1"/>
      <c r="B9" s="123" t="s">
        <v>118</v>
      </c>
      <c r="C9" s="124"/>
      <c r="D9" s="125"/>
      <c r="E9" s="8">
        <v>-1076279.3707279805</v>
      </c>
      <c r="F9" s="12" t="s">
        <v>3</v>
      </c>
      <c r="G9" s="1"/>
    </row>
    <row r="10" spans="1:7" x14ac:dyDescent="0.25">
      <c r="A10" s="1"/>
      <c r="B10" s="126" t="s">
        <v>162</v>
      </c>
      <c r="C10" s="127"/>
      <c r="D10" s="128"/>
      <c r="E10" s="8">
        <v>-1076279.3707279805</v>
      </c>
      <c r="F10" s="59" t="s">
        <v>3</v>
      </c>
      <c r="G10" s="1"/>
    </row>
    <row r="11" spans="1:7" x14ac:dyDescent="0.25">
      <c r="A11" s="1"/>
      <c r="B11" s="81"/>
      <c r="C11" s="22"/>
      <c r="D11" s="22"/>
      <c r="E11" s="22"/>
      <c r="F11" s="82"/>
      <c r="G11" s="1"/>
    </row>
    <row r="12" spans="1:7" ht="67.150000000000006" customHeight="1" x14ac:dyDescent="0.25">
      <c r="A12" s="1"/>
      <c r="B12" s="120" t="s">
        <v>163</v>
      </c>
      <c r="C12" s="121"/>
      <c r="D12" s="121"/>
      <c r="E12" s="121"/>
      <c r="F12" s="122"/>
      <c r="G12" s="1"/>
    </row>
    <row r="13" spans="1:7" ht="16.149999999999999" customHeight="1" x14ac:dyDescent="0.25">
      <c r="A13" s="1"/>
      <c r="B13" s="1"/>
      <c r="C13" s="1"/>
      <c r="D13" s="1"/>
      <c r="E13" s="1"/>
      <c r="F13" s="1"/>
      <c r="G13" s="1"/>
    </row>
    <row r="14" spans="1:7" ht="28.5" customHeight="1" x14ac:dyDescent="0.25">
      <c r="A14" s="1"/>
      <c r="B14" s="117" t="s">
        <v>96</v>
      </c>
      <c r="C14" s="118"/>
      <c r="D14" s="118"/>
      <c r="E14" s="118"/>
      <c r="F14" s="119"/>
      <c r="G14" s="1"/>
    </row>
    <row r="15" spans="1:7" x14ac:dyDescent="0.25">
      <c r="A15" s="1"/>
      <c r="B15" s="123" t="s">
        <v>171</v>
      </c>
      <c r="C15" s="124"/>
      <c r="D15" s="125"/>
      <c r="E15" s="8">
        <v>-269069.84268199513</v>
      </c>
      <c r="F15" s="12" t="s">
        <v>3</v>
      </c>
      <c r="G15" s="1"/>
    </row>
    <row r="16" spans="1:7" x14ac:dyDescent="0.25">
      <c r="A16" s="1"/>
      <c r="B16" s="123" t="s">
        <v>172</v>
      </c>
      <c r="C16" s="124"/>
      <c r="D16" s="125"/>
      <c r="E16" s="8">
        <v>-269069.84268199513</v>
      </c>
      <c r="F16" s="12" t="s">
        <v>3</v>
      </c>
      <c r="G16" s="1"/>
    </row>
    <row r="17" spans="1:7" x14ac:dyDescent="0.25">
      <c r="A17" s="1"/>
      <c r="B17" s="123" t="s">
        <v>173</v>
      </c>
      <c r="C17" s="124"/>
      <c r="D17" s="125"/>
      <c r="E17" s="8">
        <v>-269069.84268199513</v>
      </c>
      <c r="F17" s="35" t="s">
        <v>3</v>
      </c>
      <c r="G17" s="1"/>
    </row>
    <row r="18" spans="1:7" x14ac:dyDescent="0.25">
      <c r="A18" s="1"/>
      <c r="B18" s="123" t="s">
        <v>174</v>
      </c>
      <c r="C18" s="124"/>
      <c r="D18" s="125"/>
      <c r="E18" s="8">
        <v>-269069.84268199513</v>
      </c>
      <c r="F18" s="35" t="s">
        <v>3</v>
      </c>
      <c r="G18" s="1"/>
    </row>
    <row r="19" spans="1:7" x14ac:dyDescent="0.25">
      <c r="A19" s="1"/>
      <c r="B19" s="81"/>
      <c r="C19" s="22"/>
      <c r="D19" s="22"/>
      <c r="E19" s="22"/>
      <c r="F19" s="82"/>
      <c r="G19" s="1"/>
    </row>
    <row r="20" spans="1:7" ht="31.5" customHeight="1" x14ac:dyDescent="0.25">
      <c r="A20" s="1"/>
      <c r="B20" s="120" t="s">
        <v>97</v>
      </c>
      <c r="C20" s="121"/>
      <c r="D20" s="121"/>
      <c r="E20" s="121"/>
      <c r="F20" s="122"/>
      <c r="G20" s="1"/>
    </row>
    <row r="21" spans="1:7" ht="17.25" customHeight="1" x14ac:dyDescent="0.25">
      <c r="A21" s="1"/>
      <c r="B21" s="1"/>
      <c r="C21" s="1"/>
      <c r="D21" s="1"/>
      <c r="E21" s="1"/>
      <c r="F21" s="1"/>
      <c r="G21" s="1"/>
    </row>
    <row r="22" spans="1:7" ht="28.5" customHeight="1" x14ac:dyDescent="0.25">
      <c r="A22" s="1"/>
      <c r="B22" s="71" t="s">
        <v>119</v>
      </c>
      <c r="C22" s="72"/>
      <c r="D22" s="72"/>
      <c r="E22" s="72"/>
      <c r="F22" s="73"/>
      <c r="G22" s="1"/>
    </row>
    <row r="23" spans="1:7" x14ac:dyDescent="0.25">
      <c r="A23" s="1"/>
      <c r="B23" s="75" t="s">
        <v>120</v>
      </c>
      <c r="C23" s="76"/>
      <c r="D23" s="77"/>
      <c r="E23" s="8">
        <v>9004422.7171621304</v>
      </c>
      <c r="F23" s="12" t="s">
        <v>3</v>
      </c>
      <c r="G23" s="1"/>
    </row>
    <row r="24" spans="1:7" x14ac:dyDescent="0.25">
      <c r="A24" s="1"/>
      <c r="B24" s="75" t="s">
        <v>121</v>
      </c>
      <c r="C24" s="76"/>
      <c r="D24" s="77"/>
      <c r="E24" s="8">
        <v>8649418</v>
      </c>
      <c r="F24" s="12" t="s">
        <v>3</v>
      </c>
      <c r="G24" s="1"/>
    </row>
    <row r="25" spans="1:7" x14ac:dyDescent="0.25">
      <c r="A25" s="1"/>
      <c r="B25" s="75" t="s">
        <v>27</v>
      </c>
      <c r="C25" s="76"/>
      <c r="D25" s="77"/>
      <c r="E25" s="8">
        <v>0</v>
      </c>
      <c r="F25" s="12" t="s">
        <v>3</v>
      </c>
      <c r="G25" s="1"/>
    </row>
    <row r="26" spans="1:7" x14ac:dyDescent="0.25">
      <c r="A26" s="1"/>
      <c r="B26" s="68" t="s">
        <v>168</v>
      </c>
      <c r="C26" s="69"/>
      <c r="D26" s="70"/>
      <c r="E26" s="60">
        <f>E23-(E24-E25)</f>
        <v>355004.7171621304</v>
      </c>
      <c r="F26" s="15" t="s">
        <v>3</v>
      </c>
      <c r="G26" s="1"/>
    </row>
    <row r="27" spans="1:7" x14ac:dyDescent="0.25">
      <c r="A27" s="1"/>
      <c r="B27" s="81"/>
      <c r="C27" s="22"/>
      <c r="D27" s="22"/>
      <c r="E27" s="22"/>
      <c r="F27" s="82"/>
      <c r="G27" s="1"/>
    </row>
    <row r="28" spans="1:7" x14ac:dyDescent="0.25">
      <c r="A28" s="1"/>
      <c r="B28" s="1"/>
      <c r="C28" s="1"/>
      <c r="D28" s="1"/>
      <c r="E28" s="1"/>
      <c r="F28" s="1"/>
      <c r="G28" s="1"/>
    </row>
    <row r="29" spans="1:7" ht="28.5" customHeight="1" x14ac:dyDescent="0.25">
      <c r="A29" s="1"/>
      <c r="B29" s="117" t="s">
        <v>164</v>
      </c>
      <c r="C29" s="118"/>
      <c r="D29" s="118"/>
      <c r="E29" s="118"/>
      <c r="F29" s="119"/>
      <c r="G29" s="1"/>
    </row>
    <row r="30" spans="1:7" x14ac:dyDescent="0.25">
      <c r="A30" s="1"/>
      <c r="B30" s="132" t="s">
        <v>73</v>
      </c>
      <c r="C30" s="133"/>
      <c r="D30" s="134"/>
      <c r="E30" s="8">
        <f>IF(AND(E10&gt;0,SUM(E10,E26)&gt;0),0,IF(AND(E10&gt;0,SUM(E10,E26)&lt;0),SUM(E10,E26),IF(AND(E10&lt;0,E26&lt;0),SUM(E10,E26),IF(AND(E10&lt;0,E26&gt;0),E10,0))))</f>
        <v>-1076279.3707279805</v>
      </c>
      <c r="F30" s="12" t="s">
        <v>3</v>
      </c>
      <c r="G30" s="1"/>
    </row>
    <row r="31" spans="1:7" x14ac:dyDescent="0.25">
      <c r="A31" s="1"/>
      <c r="B31" s="132" t="s">
        <v>55</v>
      </c>
      <c r="C31" s="133"/>
      <c r="D31" s="134"/>
      <c r="E31" s="8">
        <v>4</v>
      </c>
      <c r="F31" s="12" t="s">
        <v>18</v>
      </c>
      <c r="G31" s="1"/>
    </row>
    <row r="32" spans="1:7" x14ac:dyDescent="0.25">
      <c r="A32" s="1"/>
      <c r="B32" s="135" t="s">
        <v>98</v>
      </c>
      <c r="C32" s="135"/>
      <c r="D32" s="135"/>
      <c r="E32" s="9">
        <f>E30/E31</f>
        <v>-269069.84268199513</v>
      </c>
      <c r="F32" s="15" t="s">
        <v>3</v>
      </c>
      <c r="G32" s="1"/>
    </row>
    <row r="33" spans="1:7" x14ac:dyDescent="0.25">
      <c r="A33" s="1"/>
      <c r="B33" s="129"/>
      <c r="C33" s="130"/>
      <c r="D33" s="130"/>
      <c r="E33" s="130"/>
      <c r="F33" s="13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Fcklfrnib325oA9FZxm12sdjCeQcFA8dNGW9waXfjalh89PR1NHLZ/yespJfvttKf4zJCd9bUX4HRzu2rzegmA==" saltValue="Bwin7zYIqT5kxOmGGi8MuA=="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33:F33"/>
    <mergeCell ref="B29:F29"/>
    <mergeCell ref="B31:D31"/>
    <mergeCell ref="B32:D32"/>
    <mergeCell ref="B30:D30"/>
    <mergeCell ref="B20:F20"/>
    <mergeCell ref="B3:F4"/>
    <mergeCell ref="B16:D16"/>
    <mergeCell ref="B8:F8"/>
    <mergeCell ref="B10:D10"/>
    <mergeCell ref="B9:D9"/>
    <mergeCell ref="B12:F12"/>
    <mergeCell ref="B14:F14"/>
    <mergeCell ref="B15:D15"/>
    <mergeCell ref="B17:D17"/>
    <mergeCell ref="B18:D1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122</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6" t="s">
        <v>123</v>
      </c>
      <c r="C9" s="136"/>
      <c r="D9" s="136"/>
      <c r="E9" s="136"/>
      <c r="F9" s="136"/>
      <c r="G9" s="1"/>
    </row>
    <row r="10" spans="1:7" x14ac:dyDescent="0.25">
      <c r="A10" s="1"/>
      <c r="B10" s="103" t="s">
        <v>52</v>
      </c>
      <c r="C10" s="103"/>
      <c r="D10" s="103"/>
      <c r="E10" s="7">
        <v>0</v>
      </c>
      <c r="F10" s="65" t="s">
        <v>3</v>
      </c>
      <c r="G10" s="1"/>
    </row>
    <row r="11" spans="1:7" x14ac:dyDescent="0.25">
      <c r="A11" s="1"/>
      <c r="B11" s="137" t="s">
        <v>124</v>
      </c>
      <c r="C11" s="137"/>
      <c r="D11" s="137"/>
      <c r="E11" s="7">
        <v>0</v>
      </c>
      <c r="F11" s="65" t="s">
        <v>3</v>
      </c>
      <c r="G11" s="1"/>
    </row>
    <row r="12" spans="1:7" x14ac:dyDescent="0.25">
      <c r="A12" s="1"/>
      <c r="B12" s="135" t="s">
        <v>53</v>
      </c>
      <c r="C12" s="135"/>
      <c r="D12" s="135"/>
      <c r="E12" s="9">
        <f>E11-E10</f>
        <v>0</v>
      </c>
      <c r="F12" s="28" t="s">
        <v>3</v>
      </c>
      <c r="G12" s="1"/>
    </row>
    <row r="13" spans="1:7" x14ac:dyDescent="0.25">
      <c r="A13" s="1"/>
      <c r="B13" s="136" t="s">
        <v>47</v>
      </c>
      <c r="C13" s="136"/>
      <c r="D13" s="136"/>
      <c r="E13" s="136"/>
      <c r="F13" s="136"/>
      <c r="G13" s="1"/>
    </row>
    <row r="14" spans="1:7" x14ac:dyDescent="0.25">
      <c r="A14" s="1"/>
      <c r="B14" s="137" t="s">
        <v>125</v>
      </c>
      <c r="C14" s="137"/>
      <c r="D14" s="137"/>
      <c r="E14" s="8">
        <v>0</v>
      </c>
      <c r="F14" s="65" t="s">
        <v>3</v>
      </c>
      <c r="G14" s="1"/>
    </row>
    <row r="15" spans="1:7" x14ac:dyDescent="0.25">
      <c r="A15" s="1"/>
      <c r="B15" s="137" t="s">
        <v>126</v>
      </c>
      <c r="C15" s="137"/>
      <c r="D15" s="137"/>
      <c r="E15" s="8">
        <v>0</v>
      </c>
      <c r="F15" s="65" t="s">
        <v>3</v>
      </c>
      <c r="G15" s="1"/>
    </row>
    <row r="16" spans="1:7" x14ac:dyDescent="0.25">
      <c r="A16" s="1"/>
      <c r="B16" s="135" t="s">
        <v>53</v>
      </c>
      <c r="C16" s="135"/>
      <c r="D16" s="135"/>
      <c r="E16" s="9">
        <f>E15-E14</f>
        <v>0</v>
      </c>
      <c r="F16" s="28" t="s">
        <v>3</v>
      </c>
      <c r="G16" s="1"/>
    </row>
    <row r="17" spans="1:7" x14ac:dyDescent="0.25">
      <c r="A17" s="1"/>
      <c r="B17" s="27" t="s">
        <v>127</v>
      </c>
      <c r="C17" s="27"/>
      <c r="D17" s="27"/>
      <c r="E17" s="10">
        <f>E12+E16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55x6H6+CkNh8dB3Mr3IzoHHFppn28Hg+vgnK5QDCvPBfjbGi9nXAwJVN6i7dCexUvTpiUqHKoP5pVPpw9fosA==" saltValue="bXrqKYT+oNgqdWDwcHjIwA=="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2022-08-17T09:03:11Z</dcterms:modified>
</cp:coreProperties>
</file>