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Verdo Vand AS (V206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1. Uhjemlet rentepost" sheetId="41" r:id="rId17"/>
    <sheet name="Fane 12.2. Uhjemlet rentepost" sheetId="42" r:id="rId18"/>
    <sheet name="Fane 13. Nøgletal" sheetId="26" r:id="rId19"/>
  </sheets>
  <externalReferences>
    <externalReference r:id="rId20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G10" i="36" l="1"/>
  <c r="G14" i="30"/>
  <c r="G11" i="30"/>
  <c r="E26" i="27"/>
  <c r="C53" i="42" l="1"/>
  <c r="C26" i="15"/>
  <c r="C30" i="2"/>
  <c r="C10" i="42"/>
  <c r="C13" i="42" s="1"/>
  <c r="C14" i="42" s="1"/>
  <c r="C18" i="42"/>
  <c r="C23" i="42" s="1"/>
  <c r="C28" i="42"/>
  <c r="C31" i="42" s="1"/>
  <c r="C32" i="42" s="1"/>
  <c r="C36" i="42"/>
  <c r="C46" i="42"/>
  <c r="C48" i="42"/>
  <c r="C39" i="42"/>
  <c r="C33" i="42"/>
  <c r="C49" i="42" s="1"/>
  <c r="C30" i="42"/>
  <c r="C22" i="42"/>
  <c r="C12" i="42"/>
  <c r="C46" i="41"/>
  <c r="C47" i="41" s="1"/>
  <c r="C38" i="41"/>
  <c r="C39" i="41" s="1"/>
  <c r="C30" i="41"/>
  <c r="C31" i="41" s="1"/>
  <c r="C22" i="41"/>
  <c r="C23" i="41" s="1"/>
  <c r="C14" i="41"/>
  <c r="C15" i="41" s="1"/>
  <c r="C50" i="42" l="1"/>
  <c r="C52" i="42" s="1"/>
  <c r="C25" i="42"/>
  <c r="C40" i="42" s="1"/>
  <c r="C41" i="42" s="1"/>
  <c r="C42" i="42" s="1"/>
  <c r="C16" i="19" l="1"/>
  <c r="E31" i="32" l="1"/>
  <c r="E16" i="27" l="1"/>
  <c r="E10" i="11" l="1"/>
  <c r="E15" i="32" l="1"/>
  <c r="E7" i="32"/>
  <c r="G7" i="30" l="1"/>
  <c r="E32" i="21" l="1"/>
  <c r="E33" i="21" s="1"/>
  <c r="G49" i="36" s="1"/>
  <c r="C32" i="21"/>
  <c r="C33" i="21" s="1"/>
  <c r="G50" i="30" s="1"/>
  <c r="E25" i="21"/>
  <c r="E26" i="21" s="1"/>
  <c r="G43" i="36" s="1"/>
  <c r="C25" i="21"/>
  <c r="C26" i="21" s="1"/>
  <c r="G44" i="30" s="1"/>
  <c r="E18" i="21"/>
  <c r="E19" i="21" s="1"/>
  <c r="G37" i="36" s="1"/>
  <c r="C18" i="21"/>
  <c r="C19" i="21" s="1"/>
  <c r="G38" i="30" s="1"/>
  <c r="C11" i="15" l="1"/>
  <c r="C10" i="15"/>
  <c r="C9" i="22"/>
  <c r="C10" i="22"/>
  <c r="C10" i="23"/>
  <c r="C9" i="23"/>
  <c r="E35" i="39"/>
  <c r="E36" i="39" s="1"/>
  <c r="C35" i="39"/>
  <c r="C36" i="39" s="1"/>
  <c r="E27" i="39"/>
  <c r="E28" i="39" s="1"/>
  <c r="C27" i="39"/>
  <c r="C28" i="39" s="1"/>
  <c r="E19" i="39"/>
  <c r="E20" i="39" s="1"/>
  <c r="C19" i="39"/>
  <c r="C20" i="39" s="1"/>
  <c r="E11" i="39"/>
  <c r="E12" i="39" s="1"/>
  <c r="C11" i="39"/>
  <c r="C12" i="39" s="1"/>
  <c r="C13" i="39" l="1"/>
  <c r="C29" i="39"/>
  <c r="C21" i="39"/>
  <c r="E13" i="39"/>
  <c r="E29" i="39"/>
  <c r="C37" i="39"/>
  <c r="E21" i="39"/>
  <c r="E37" i="39"/>
  <c r="E38" i="39" l="1"/>
  <c r="C20" i="23" s="1"/>
  <c r="C38" i="39"/>
  <c r="C19" i="23" s="1"/>
  <c r="E14" i="39"/>
  <c r="C25" i="2" s="1"/>
  <c r="C30" i="39"/>
  <c r="C19" i="22" s="1"/>
  <c r="E22" i="39"/>
  <c r="C21" i="15" s="1"/>
  <c r="E30" i="39"/>
  <c r="C20" i="22" s="1"/>
  <c r="C22" i="39"/>
  <c r="C20" i="15" s="1"/>
  <c r="C14" i="39"/>
  <c r="C24" i="2" s="1"/>
  <c r="C21" i="22" l="1"/>
  <c r="C21" i="23"/>
  <c r="C22" i="15"/>
  <c r="C26" i="2"/>
  <c r="G6" i="36" l="1"/>
  <c r="G18" i="30" l="1"/>
  <c r="G13" i="36" l="1"/>
  <c r="G17" i="36" s="1"/>
  <c r="G20" i="36" l="1"/>
  <c r="G24" i="36" s="1"/>
  <c r="G26" i="36" l="1"/>
  <c r="G30" i="36" s="1"/>
  <c r="G21" i="30"/>
  <c r="G25" i="30" l="1"/>
  <c r="G27" i="30" s="1"/>
  <c r="E19" i="27"/>
  <c r="E23" i="32"/>
  <c r="E37" i="32" s="1"/>
  <c r="E39" i="32" s="1"/>
  <c r="C24" i="15" l="1"/>
  <c r="C28" i="2"/>
  <c r="F11" i="11"/>
  <c r="C10" i="37" s="1"/>
  <c r="C13" i="37" s="1"/>
  <c r="G11" i="11"/>
  <c r="C14" i="37" l="1"/>
  <c r="C10" i="2" s="1"/>
  <c r="E11" i="21"/>
  <c r="E12" i="21" s="1"/>
  <c r="C11" i="21"/>
  <c r="C12" i="21" s="1"/>
  <c r="E11" i="29"/>
  <c r="E12" i="29" s="1"/>
  <c r="C11" i="29"/>
  <c r="C12" i="29" s="1"/>
  <c r="C17" i="19"/>
  <c r="C17" i="23" l="1"/>
  <c r="C17" i="22"/>
  <c r="C18" i="15"/>
  <c r="C14" i="2"/>
  <c r="C15" i="2"/>
  <c r="C22" i="2"/>
  <c r="C13" i="2"/>
  <c r="C12" i="2"/>
  <c r="G32" i="30" l="1"/>
  <c r="G31" i="30" l="1"/>
  <c r="E18" i="27"/>
  <c r="G33" i="30" l="1"/>
  <c r="E11" i="11"/>
  <c r="E10" i="37" s="1"/>
  <c r="E13" i="37" s="1"/>
  <c r="G37" i="30" l="1"/>
  <c r="G39" i="30" s="1"/>
  <c r="C18" i="2"/>
  <c r="E14" i="37"/>
  <c r="C11" i="2" s="1"/>
  <c r="G31" i="36" s="1"/>
  <c r="G43" i="30" l="1"/>
  <c r="G45" i="30" s="1"/>
  <c r="C14" i="15"/>
  <c r="G32" i="36"/>
  <c r="C19" i="2" s="1"/>
  <c r="G36" i="36" l="1"/>
  <c r="G49" i="30"/>
  <c r="G51" i="30" s="1"/>
  <c r="C13" i="23" s="1"/>
  <c r="C13" i="22"/>
  <c r="E17" i="27"/>
  <c r="E20" i="27" s="1"/>
  <c r="E33" i="27" s="1"/>
  <c r="G38" i="36" l="1"/>
  <c r="C15" i="15" s="1"/>
  <c r="C9" i="2"/>
  <c r="G42" i="36" l="1"/>
  <c r="G44" i="36" s="1"/>
  <c r="C14" i="22" s="1"/>
  <c r="G48" i="36"/>
  <c r="G50" i="36" s="1"/>
  <c r="C14" i="23" s="1"/>
  <c r="C16" i="2"/>
  <c r="C17" i="2" s="1"/>
  <c r="C20" i="2" s="1"/>
  <c r="C31" i="2" s="1"/>
  <c r="C9" i="15" l="1"/>
  <c r="C12" i="15" l="1"/>
  <c r="C13" i="15" s="1"/>
  <c r="C16" i="15" s="1"/>
  <c r="C27" i="15" s="1"/>
  <c r="C8" i="22" l="1"/>
  <c r="C11" i="22" l="1"/>
  <c r="C12" i="22" l="1"/>
  <c r="C15" i="22" s="1"/>
  <c r="C22" i="22" s="1"/>
  <c r="C8" i="23" l="1"/>
  <c r="C11" i="23" l="1"/>
  <c r="C12" i="23" l="1"/>
  <c r="C15" i="23" s="1"/>
  <c r="C22" i="23" s="1"/>
</calcChain>
</file>

<file path=xl/sharedStrings.xml><?xml version="1.0" encoding="utf-8"?>
<sst xmlns="http://schemas.openxmlformats.org/spreadsheetml/2006/main" count="779" uniqueCount="341">
  <si>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</si>
  <si>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</si>
  <si>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</si>
  <si>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</si>
  <si>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</si>
  <si>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</si>
  <si>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</si>
  <si>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</si>
  <si>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</si>
  <si>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</si>
  <si>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</si>
  <si>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</si>
  <si>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</si>
  <si>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</si>
  <si>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</si>
  <si>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</si>
  <si>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</si>
  <si>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</si>
  <si>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</si>
  <si>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</si>
  <si>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</si>
  <si>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</si>
  <si>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</si>
  <si>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</si>
  <si>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</si>
  <si>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</si>
  <si>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</si>
  <si>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</si>
  <si>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</si>
  <si>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</si>
  <si>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</si>
  <si>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</si>
  <si>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</si>
  <si>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</si>
  <si>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</si>
  <si>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</si>
  <si>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</si>
  <si>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</si>
  <si>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</si>
  <si>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</si>
  <si>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</si>
  <si>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</si>
  <si>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</si>
  <si>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</si>
  <si>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</si>
  <si>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</si>
  <si>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</si>
  <si>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</si>
  <si>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</si>
  <si>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</si>
  <si>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</si>
  <si>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</si>
  <si>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</si>
  <si>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</si>
  <si>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</si>
  <si>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</si>
  <si>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</si>
  <si>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</si>
  <si>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</si>
  <si>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</si>
  <si>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</si>
  <si>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</si>
  <si>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</si>
  <si>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</si>
  <si>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</si>
  <si>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</si>
  <si>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</si>
  <si>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</si>
  <si>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</si>
  <si>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</si>
  <si>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</si>
  <si>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</si>
  <si>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</si>
  <si>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</si>
  <si>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</si>
  <si>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</si>
  <si>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</si>
  <si>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</si>
  <si>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</si>
  <si>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</si>
  <si>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</si>
  <si>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</si>
  <si>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</si>
  <si>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</si>
  <si>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</si>
  <si>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</si>
  <si>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</si>
  <si>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</si>
  <si>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</si>
  <si>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</si>
  <si>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</si>
  <si>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</si>
  <si>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</si>
  <si>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</si>
  <si>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</si>
  <si>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</si>
  <si>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</si>
  <si>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</si>
  <si>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</si>
  <si>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</si>
  <si>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</si>
  <si>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</si>
  <si>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</si>
  <si>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</si>
  <si>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</si>
  <si>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</si>
  <si>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</si>
  <si>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</si>
  <si>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</si>
  <si>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</si>
  <si>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</si>
  <si>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</si>
  <si>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</si>
  <si>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Kontrol med overholdelse af indtægtsrammer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</si>
  <si>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</si>
  <si>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</si>
  <si>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</si>
  <si>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</si>
  <si>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</si>
  <si>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</si>
  <si>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</si>
  <si>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</si>
  <si>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</si>
  <si>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</si>
  <si>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</si>
  <si>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</si>
  <si>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</si>
  <si>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</si>
  <si>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Nøgletal</t>
  </si>
  <si>
    <t>Antal år i næste reguleringsperiode</t>
  </si>
  <si>
    <t>Korrektion og kontrol med prisloft 2016 i alt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</si>
  <si>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</si>
  <si>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</si>
  <si>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</si>
  <si>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</si>
  <si>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</si>
  <si>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</si>
  <si>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</si>
  <si>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</si>
  <si>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</si>
  <si>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</si>
  <si>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</si>
  <si>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</si>
  <si>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</si>
  <si>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</si>
  <si>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</si>
  <si>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</si>
  <si>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</si>
  <si>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</si>
  <si>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</si>
  <si>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</si>
  <si>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</si>
  <si>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</si>
  <si>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</si>
  <si>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</si>
  <si>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Tilknyttet virksomhed under hovedvirksomheden</t>
  </si>
  <si>
    <t>Beskrivelse af tilknyttet virksomhed</t>
  </si>
  <si>
    <t>Tilknyttet virksomhed under hovedvirksomheden i alt (2019-prisniveau)</t>
  </si>
  <si>
    <t>Tidligere tilknyttet virksomhed - Drift</t>
  </si>
  <si>
    <t>Tidligere tilknyttet virksomhed - Anlæg</t>
  </si>
  <si>
    <t>Fane 2.1: Samlet økonomisk ramme for 2021</t>
  </si>
  <si>
    <t>Fane 2.2: Samlet økonomisk ramme for 2022</t>
  </si>
  <si>
    <t>Fane 2.3: Samlet økonomisk ramme for 2023</t>
  </si>
  <si>
    <t>Fane 2.4: Samlet økonomisk ramme for 2024</t>
  </si>
  <si>
    <t>Videreførte omkostninger fra den økonomiske ramme for 2022</t>
  </si>
  <si>
    <t>Videreførte omkostninger fra den økonomiske ramme for 2023</t>
  </si>
  <si>
    <t>Oversigt over den økonomiske ramme for 2020</t>
  </si>
  <si>
    <t>Faktiske ikke-påvirkelige omkostninger i 2019</t>
  </si>
  <si>
    <t>Ikke-påvirkelige omkostninger i 2019-prisniveau</t>
  </si>
  <si>
    <t>Ikke-påvirkelige omkostninger i 2021-prisniveau</t>
  </si>
  <si>
    <t>Faktiske omkostninger i 2019</t>
  </si>
  <si>
    <t>Fane 7: Kontrol med overholdelse af den økonomiske ramme for 2019</t>
  </si>
  <si>
    <t>Nye tillæg i alt i 2020-prisniveau</t>
  </si>
  <si>
    <t>Engangstillæg i alt i 2019-prisniveau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</si>
  <si>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</si>
  <si>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</si>
  <si>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</si>
  <si>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</si>
  <si>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 xml:space="preserve">Note: Denne opgørelse er taget fra jeres afgørelse for den økonomiske ramme for 2020. I kan derfor ikke komme med høringssvar til denne opgørelse. </t>
  </si>
  <si>
    <t>Fane 3: Videreførte omkostninger fra den økonomiske ramme for 2020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</si>
  <si>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</si>
  <si>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</si>
  <si>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</si>
  <si>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</si>
  <si>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</si>
  <si>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</si>
  <si>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</si>
  <si>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</si>
  <si>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</si>
  <si>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</si>
  <si>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</si>
  <si>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</si>
  <si>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</si>
  <si>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</si>
  <si>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</si>
  <si>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</si>
  <si>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</si>
  <si>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</si>
  <si>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</si>
  <si>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overholdelse af den økonomiske ramme for 2019</t>
  </si>
  <si>
    <t>Indtægtsramme i den økonomiske ramme for 2019</t>
  </si>
  <si>
    <t>Faktiske indtægter i 2019</t>
  </si>
  <si>
    <t>Kontrol med de økonomiske rammer til indregning</t>
  </si>
  <si>
    <t>Kontrol med overholdelse af økonomiske rammer</t>
  </si>
  <si>
    <t>Kontrol med overholdelse af den økonomiske ramme</t>
  </si>
  <si>
    <t>Til økonomiske rammer for 2021 og 2022</t>
  </si>
  <si>
    <t>Samlet økonomisk ramme for 2022</t>
  </si>
  <si>
    <t>Difference (2017-prisniveau)</t>
  </si>
  <si>
    <t>Difference (2018-prisniveau)</t>
  </si>
  <si>
    <t>Difference (2019-prisniveau)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</si>
  <si>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</si>
  <si>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</si>
  <si>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</si>
  <si>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</si>
  <si>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</si>
  <si>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</si>
  <si>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</si>
  <si>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</si>
  <si>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</si>
  <si>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</si>
  <si>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</si>
  <si>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</si>
  <si>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</si>
  <si>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</si>
  <si>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</si>
  <si>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</si>
  <si>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Beregningen af jeres individuelle effektiviseringskrav fremgår af metodepapir samt bilag til benchmarkingmodellen 2021</t>
  </si>
  <si>
    <t>Historisk over- eller underdækning</t>
  </si>
  <si>
    <t>Tillæg/fradrag for historisk over- eller underdækning</t>
  </si>
  <si>
    <t>Korrektion og kontrol med overholdelse af indtægtsrammer</t>
  </si>
  <si>
    <t>Tillæg/fradrag for kontrol af den økonomiske ramme for 2018</t>
  </si>
  <si>
    <t>Korrektion af den økonomiske ramme for 2018</t>
  </si>
  <si>
    <t>Tillæg/fradrag for korrektion af den økonomiske ramme for 2018</t>
  </si>
  <si>
    <t>Afgift for ledningsført vand</t>
  </si>
  <si>
    <t>Afgift til Forsyningssekretariatet</t>
  </si>
  <si>
    <t>Køb af ydelser og produkter fra andre vandselskaber reguleret af vandsektorloven</t>
  </si>
  <si>
    <t>Ejendomsskat</t>
  </si>
  <si>
    <t>Selskabsskatter</t>
  </si>
  <si>
    <t>Tjenestemandspensioner</t>
  </si>
  <si>
    <t>Ingen tilknyttet virksomhed</t>
  </si>
  <si>
    <t>Ingen bortfald eller nedsættelse</t>
  </si>
  <si>
    <t>Byggemodninger</t>
  </si>
  <si>
    <t>Inspektion af rentvandsbeholder</t>
  </si>
  <si>
    <t>Ingen engangstillæg</t>
  </si>
  <si>
    <t>Afregningsmålere, elektroniske, maksimal gennemstrømning ≤ 4 m3/t</t>
  </si>
  <si>
    <t>10</t>
  </si>
  <si>
    <t>Finansielle poster i regnskab for 2011</t>
  </si>
  <si>
    <t xml:space="preserve"> - heraf renteomkostninger til moderselskab</t>
  </si>
  <si>
    <t xml:space="preserve"> - heraf øvrige finansielle poster</t>
  </si>
  <si>
    <t>Manglende korrektion til prisloft 2013</t>
  </si>
  <si>
    <t>Finansielle poster i regnskab for 2012</t>
  </si>
  <si>
    <t>Manglende korrektion til prisloft 2014</t>
  </si>
  <si>
    <t>Finansielle poster i regnskab for 2013</t>
  </si>
  <si>
    <t>Manglende korrektion til prisloft 2015</t>
  </si>
  <si>
    <t>Finansielle poster i regnskab for 2014</t>
  </si>
  <si>
    <t>Manglende korrektion til prisloft 2016</t>
  </si>
  <si>
    <t>Finansielle poster i regnskab for 2015</t>
  </si>
  <si>
    <t>Manglende korrektion til økonomisk ramme for 2017</t>
  </si>
  <si>
    <t>Korrekt korrektion til indregning i prisloft 2013</t>
  </si>
  <si>
    <t>Korrekt korrektion til indregning i prisloft 2014</t>
  </si>
  <si>
    <t>Korrekt korrektion til indregning i prisloft 2015</t>
  </si>
  <si>
    <t>Korrekt korrektion til indregning i prisloft 2016</t>
  </si>
  <si>
    <t>Korrekt korrektion til indregning i økonomiske ramme for 2017</t>
  </si>
  <si>
    <t>Samlet fradrag pga. uhjemlet rentepost</t>
  </si>
  <si>
    <t>Fradrag for uhjemlet rentepost</t>
  </si>
  <si>
    <t>Uhjemlet rentepost</t>
  </si>
  <si>
    <t>For meget opkrævet hos forbrugerne i 2014</t>
  </si>
  <si>
    <t>For meget overført til prisloft 2016</t>
  </si>
  <si>
    <t>For meget opkrævet hos forbrugerne i 2015</t>
  </si>
  <si>
    <t>For meget overført til økonomisk ramme for 2017</t>
  </si>
  <si>
    <t>For meget opkrævet hos forbrugerne i 2016</t>
  </si>
  <si>
    <t>For meget overført til økonomisk ramme for 2018</t>
  </si>
  <si>
    <t>For meget opkrævet hos forbrugerne i 2017</t>
  </si>
  <si>
    <t>Yderligere opkrævningsret efter § 17, stk. 10 - 2017</t>
  </si>
  <si>
    <t>Yderligere opkrævningsret efter § 17, stk. 10 - 2018</t>
  </si>
  <si>
    <t>Økonomisk ramme for 2024</t>
  </si>
  <si>
    <t>Manglende korrektion i prisloft 2013 som følge af uhjemlet rentepost</t>
  </si>
  <si>
    <t>Budget i prisloft 2011*</t>
  </si>
  <si>
    <t xml:space="preserve"> - heraf finansielle omkostninger til tilknyttede virksomheder</t>
  </si>
  <si>
    <t>Indregnet korrektion i prisloft 2013*</t>
  </si>
  <si>
    <t>Manglende korrektion i prisloft 2014 som følge af uhjemlet rentepost</t>
  </si>
  <si>
    <t>Budget i prisloft 2012*</t>
  </si>
  <si>
    <t>Indregnet korrektion i prisloft 2014*</t>
  </si>
  <si>
    <t>Manglende korrektion i prisloft 2015 som følge af uhjemlet rentepost</t>
  </si>
  <si>
    <t>Budget i prisloft 2013*</t>
  </si>
  <si>
    <t>Indregnet korrektion i prisloft 2015*</t>
  </si>
  <si>
    <t>Manglende korrektion i prisloft 2016 som følge af uhjemlet rentepost</t>
  </si>
  <si>
    <t>Budget i prisloft 2014*</t>
  </si>
  <si>
    <t>Indregnet korrektion i prisloft 2016*</t>
  </si>
  <si>
    <t>Manglende korrektion i økonomisk ramme for 2017 som følge af uhjemlet rentepost</t>
  </si>
  <si>
    <t>Budget i prisloft 2015*</t>
  </si>
  <si>
    <t>Indregnet korrektion i økonomisk ramme for 2017*</t>
  </si>
  <si>
    <t>*beløbet stammer fra opgørelsen af de respektive indtægtsrammer for perioden 2011 til 2017.</t>
  </si>
  <si>
    <t>Påvirkning af kontrol med overholdelse af prisloft for 2013</t>
  </si>
  <si>
    <t>Prisloft 2013*</t>
  </si>
  <si>
    <t>Prisloft 2013 fratrukket manglende korrektion</t>
  </si>
  <si>
    <t>Indtægter i 2013*</t>
  </si>
  <si>
    <t>Kontrol af prisloft 2013*</t>
  </si>
  <si>
    <t>Kontrol af prisloft 2013 fratrukket manglende korrektion</t>
  </si>
  <si>
    <t>For meget opkrævet hos forbrugerne i 2013</t>
  </si>
  <si>
    <t>For meget overført til prisloft 2015</t>
  </si>
  <si>
    <t>Påvirkning af kontrol med overholdelse af prisloft for 2014</t>
  </si>
  <si>
    <t>Prisloft 2014*</t>
  </si>
  <si>
    <t>Prisloft 2014 fratrukket manglende korrektion</t>
  </si>
  <si>
    <t>Ikke anvendt likviditet vedr. investeringer i 2014*</t>
  </si>
  <si>
    <t>Korrektion af ikke opkrævet tillæg fra 2012 i prisloft 2014*</t>
  </si>
  <si>
    <t>Indtægter i 2014*</t>
  </si>
  <si>
    <t>Kontrol af prisloft 2014*</t>
  </si>
  <si>
    <t>Kontrol af prisloft 2014 fratrukket manglende korrektion</t>
  </si>
  <si>
    <t>Påvirkning af kontrol med overholdelse af prisloft for 2015</t>
  </si>
  <si>
    <t>Prisloft 2015*</t>
  </si>
  <si>
    <t>Prisloft 2015 fratrukket manglende korrektion</t>
  </si>
  <si>
    <t>Indtægter i 2015*</t>
  </si>
  <si>
    <t>Kontrol af prisloft 2015*</t>
  </si>
  <si>
    <t>Kontrol af prisloft 2015 fratrukket manglende korrektion</t>
  </si>
  <si>
    <t>Påvirkning af kontrol med overholdelse af prisloft for 2016</t>
  </si>
  <si>
    <t>Prisloft 2016*</t>
  </si>
  <si>
    <t>Prisloft 2016 fratrukket manglende korrektion</t>
  </si>
  <si>
    <t>Korrektion af ikke opkrævet tillæg fra 2014 i prisloft 2016*</t>
  </si>
  <si>
    <t>Indtægter i 2016*</t>
  </si>
  <si>
    <t>Kontrol af prisloft 2016*</t>
  </si>
  <si>
    <t>Kontrol af prisloft 2016 fratrukket manglende korrektion</t>
  </si>
  <si>
    <t>Påvirkning af kontrol med overholdelse af økonomisk ramme for 2017</t>
  </si>
  <si>
    <t>Økonomisk ramme for 2017*</t>
  </si>
  <si>
    <t>Økonomiske ramme for  2017 fratrukket manglende korrektion</t>
  </si>
  <si>
    <t>Indtægter i 2017*</t>
  </si>
  <si>
    <t>kontrol af økonomisk ramme for  2017*</t>
  </si>
  <si>
    <t>*beløbet stammer fra opgørelsen af de respektive indtægtsrammer for perioden 2013 til 2017.</t>
  </si>
  <si>
    <t>Kontrol af økonomiske ramme for 2017 fratrukket manglende korrektion</t>
  </si>
  <si>
    <t>Tilpasning af kontrol pga. for stor overførsel fra prisloft  2014**</t>
  </si>
  <si>
    <t>Tilpasning af kontrol pga. for stor overførsel fra prisloft 2015**</t>
  </si>
  <si>
    <t>For meget overført til opkrævning i 2018***</t>
  </si>
  <si>
    <t>**Der er overført for meget til jeres prisloft for 2016 og jeres økonomiske ramme for 2017. Opgørelsen af kontrollen er derfor tilpasset med disse overførsler for årene 2016 og 2017.</t>
  </si>
  <si>
    <t>***Der er overført for meget til opkrævning i 2018. Ved kontrollen af 2018 har vi dog konstateret, at I har opkrævet mindre end hvad jeres økonomiske ramme tillod. I har derfor ikke opkrævet dette beløb i 2018 og har derfor ikke opkrævet for meget hos forbrugerne i 2018.</t>
  </si>
  <si>
    <t>- heraf driftsomkostninger for Fyrrebakkens Vandværk for 2017</t>
  </si>
  <si>
    <t>- heraf anlægsomkostninger for Fyrrebakkens Vandværk for 2017</t>
  </si>
  <si>
    <t>Fane 12.1: Uhjemlet rentepost - opgørelse af manglende korrektion</t>
  </si>
  <si>
    <t>Fane 12.2: Uhjemlet rentepost - opgørelse af fradrag</t>
  </si>
  <si>
    <t>Fane 13</t>
  </si>
  <si>
    <t>Fane 12.1</t>
  </si>
  <si>
    <t>Fane 12.2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</si>
</sst>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22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15" fillId="2" borderId="0" xfId="0" applyFont="1" applyFill="1" applyAlignment="1" applyProtection="1">
      <alignment horizontal="center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7" fillId="3" borderId="1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0" borderId="2" xfId="0" quotePrefix="1" applyFont="1" applyFill="1" applyBorder="1" applyAlignment="1" applyProtection="1">
      <alignment horizontal="left" wrapText="1"/>
    </xf>
    <xf numFmtId="3" fontId="8" fillId="0" borderId="1" xfId="0" applyNumberFormat="1" applyFont="1" applyFill="1" applyBorder="1" applyProtection="1"/>
    <xf numFmtId="0" fontId="8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1" fontId="8" fillId="0" borderId="1" xfId="0" applyNumberFormat="1" applyFont="1" applyFill="1" applyBorder="1" applyAlignment="1" applyProtection="1">
      <alignment horizontal="right"/>
    </xf>
    <xf numFmtId="49" fontId="8" fillId="8" borderId="2" xfId="0" applyNumberFormat="1" applyFont="1" applyFill="1" applyBorder="1" applyAlignment="1" applyProtection="1">
      <alignment horizontal="left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0" fillId="2" borderId="0" xfId="0" applyFill="1" applyAlignment="1" applyProtection="1">
      <alignment horizontal="center"/>
    </xf>
    <xf numFmtId="0" fontId="0" fillId="2" borderId="7" xfId="0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>
        <row r="1">
          <cell r="A1" t="str">
            <v>ØR 2021-2024 samt statusmeddelelser</v>
          </cell>
        </row>
      </sheetData>
      <sheetData sheetId="2"/>
      <sheetData sheetId="3"/>
      <sheetData sheetId="4"/>
      <sheetData sheetId="5"/>
      <sheetData sheetId="6">
        <row r="5">
          <cell r="C5">
            <v>1.0168999999999999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2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3" t="s">
        <v>4</v>
      </c>
      <c r="E6" s="63"/>
      <c r="F6" s="63"/>
      <c r="G6" s="63"/>
      <c r="H6" s="3"/>
      <c r="I6" s="1"/>
    </row>
    <row r="7" spans="1:9" ht="15" customHeight="1" x14ac:dyDescent="0.25">
      <c r="A7" s="1"/>
      <c r="B7" s="1"/>
      <c r="C7" s="3"/>
      <c r="D7" s="63"/>
      <c r="E7" s="63"/>
      <c r="F7" s="63"/>
      <c r="G7" s="63"/>
      <c r="H7" s="3"/>
      <c r="I7" s="1"/>
    </row>
    <row r="8" spans="1:9" ht="15.75" x14ac:dyDescent="0.25">
      <c r="A8" s="1"/>
      <c r="B8" s="1"/>
      <c r="C8" s="4"/>
      <c r="D8" s="68" t="s">
        <v>205</v>
      </c>
      <c r="E8" s="68"/>
      <c r="F8" s="68"/>
      <c r="G8" s="6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0" t="s">
        <v>150</v>
      </c>
      <c r="E13" s="61"/>
      <c r="F13" s="61"/>
      <c r="G13" s="62"/>
      <c r="H13" s="1"/>
      <c r="I13" s="1"/>
    </row>
    <row r="14" spans="1:9" x14ac:dyDescent="0.25">
      <c r="A14" s="1"/>
      <c r="B14" s="1"/>
      <c r="C14" s="6" t="s">
        <v>15</v>
      </c>
      <c r="D14" s="60" t="s">
        <v>206</v>
      </c>
      <c r="E14" s="61"/>
      <c r="F14" s="61"/>
      <c r="G14" s="62"/>
      <c r="H14" s="1"/>
      <c r="I14" s="1"/>
    </row>
    <row r="15" spans="1:9" x14ac:dyDescent="0.25">
      <c r="A15" s="1"/>
      <c r="B15" s="1"/>
      <c r="C15" s="6" t="s">
        <v>40</v>
      </c>
      <c r="D15" s="60" t="s">
        <v>93</v>
      </c>
      <c r="E15" s="61"/>
      <c r="F15" s="61"/>
      <c r="G15" s="62"/>
      <c r="H15" s="1"/>
      <c r="I15" s="1"/>
    </row>
    <row r="16" spans="1:9" x14ac:dyDescent="0.25">
      <c r="A16" s="1"/>
      <c r="B16" s="1"/>
      <c r="C16" s="6" t="s">
        <v>41</v>
      </c>
      <c r="D16" s="60" t="s">
        <v>151</v>
      </c>
      <c r="E16" s="61"/>
      <c r="F16" s="61"/>
      <c r="G16" s="62"/>
      <c r="H16" s="1"/>
      <c r="I16" s="1"/>
    </row>
    <row r="17" spans="1:9" x14ac:dyDescent="0.25">
      <c r="A17" s="1"/>
      <c r="B17" s="1"/>
      <c r="C17" s="6" t="s">
        <v>149</v>
      </c>
      <c r="D17" s="60" t="s">
        <v>152</v>
      </c>
      <c r="E17" s="61"/>
      <c r="F17" s="61"/>
      <c r="G17" s="62"/>
      <c r="H17" s="1"/>
      <c r="I17" s="1"/>
    </row>
    <row r="18" spans="1:9" x14ac:dyDescent="0.25">
      <c r="A18" s="1"/>
      <c r="B18" s="1"/>
      <c r="C18" s="32" t="s">
        <v>133</v>
      </c>
      <c r="D18" s="69" t="s">
        <v>114</v>
      </c>
      <c r="E18" s="70"/>
      <c r="F18" s="70"/>
      <c r="G18" s="71"/>
      <c r="H18" s="1"/>
      <c r="I18" s="1"/>
    </row>
    <row r="19" spans="1:9" x14ac:dyDescent="0.25">
      <c r="A19" s="1"/>
      <c r="B19" s="1"/>
      <c r="C19" s="32" t="s">
        <v>134</v>
      </c>
      <c r="D19" s="69" t="s">
        <v>115</v>
      </c>
      <c r="E19" s="70"/>
      <c r="F19" s="70"/>
      <c r="G19" s="71"/>
      <c r="H19" s="1"/>
      <c r="I19" s="1"/>
    </row>
    <row r="20" spans="1:9" x14ac:dyDescent="0.25">
      <c r="A20" s="1"/>
      <c r="B20" s="1"/>
      <c r="C20" s="32" t="s">
        <v>7</v>
      </c>
      <c r="D20" s="69" t="s">
        <v>9</v>
      </c>
      <c r="E20" s="70"/>
      <c r="F20" s="70"/>
      <c r="G20" s="71"/>
      <c r="H20" s="1"/>
      <c r="I20" s="1"/>
    </row>
    <row r="21" spans="1:9" x14ac:dyDescent="0.25">
      <c r="A21" s="1"/>
      <c r="B21" s="1"/>
      <c r="C21" s="6" t="s">
        <v>135</v>
      </c>
      <c r="D21" s="75" t="s">
        <v>12</v>
      </c>
      <c r="E21" s="76"/>
      <c r="F21" s="76"/>
      <c r="G21" s="77"/>
      <c r="H21" s="1"/>
      <c r="I21" s="1"/>
    </row>
    <row r="22" spans="1:9" x14ac:dyDescent="0.25">
      <c r="A22" s="1"/>
      <c r="B22" s="1"/>
      <c r="C22" s="6" t="s">
        <v>97</v>
      </c>
      <c r="D22" s="64" t="s">
        <v>153</v>
      </c>
      <c r="E22" s="65"/>
      <c r="F22" s="65"/>
      <c r="G22" s="66"/>
      <c r="H22" s="1"/>
      <c r="I22" s="1"/>
    </row>
    <row r="23" spans="1:9" x14ac:dyDescent="0.25">
      <c r="A23" s="1"/>
      <c r="B23" s="1"/>
      <c r="C23" s="6" t="s">
        <v>8</v>
      </c>
      <c r="D23" s="64" t="s">
        <v>42</v>
      </c>
      <c r="E23" s="65"/>
      <c r="F23" s="65"/>
      <c r="G23" s="66"/>
      <c r="H23" s="1"/>
      <c r="I23" s="1"/>
    </row>
    <row r="24" spans="1:9" x14ac:dyDescent="0.25">
      <c r="A24" s="1"/>
      <c r="B24" s="1"/>
      <c r="C24" s="6" t="s">
        <v>216</v>
      </c>
      <c r="D24" s="64" t="s">
        <v>98</v>
      </c>
      <c r="E24" s="65"/>
      <c r="F24" s="65"/>
      <c r="G24" s="66"/>
      <c r="H24" s="1"/>
      <c r="I24" s="1"/>
    </row>
    <row r="25" spans="1:9" x14ac:dyDescent="0.25">
      <c r="A25" s="1"/>
      <c r="B25" s="1"/>
      <c r="C25" s="6" t="s">
        <v>217</v>
      </c>
      <c r="D25" s="64" t="s">
        <v>99</v>
      </c>
      <c r="E25" s="65"/>
      <c r="F25" s="65"/>
      <c r="G25" s="66"/>
      <c r="H25" s="1"/>
      <c r="I25" s="1"/>
    </row>
    <row r="26" spans="1:9" x14ac:dyDescent="0.25">
      <c r="A26" s="1"/>
      <c r="B26" s="1"/>
      <c r="C26" s="6" t="s">
        <v>218</v>
      </c>
      <c r="D26" s="64" t="s">
        <v>154</v>
      </c>
      <c r="E26" s="65"/>
      <c r="F26" s="65"/>
      <c r="G26" s="66"/>
      <c r="H26" s="1"/>
      <c r="I26" s="1"/>
    </row>
    <row r="27" spans="1:9" x14ac:dyDescent="0.25">
      <c r="A27" s="1"/>
      <c r="B27" s="1"/>
      <c r="C27" s="6" t="s">
        <v>136</v>
      </c>
      <c r="D27" s="64" t="s">
        <v>43</v>
      </c>
      <c r="E27" s="65"/>
      <c r="F27" s="65"/>
      <c r="G27" s="66"/>
      <c r="H27" s="1"/>
      <c r="I27" s="1"/>
    </row>
    <row r="28" spans="1:9" x14ac:dyDescent="0.25">
      <c r="A28" s="1"/>
      <c r="B28" s="1"/>
      <c r="C28" s="6" t="s">
        <v>339</v>
      </c>
      <c r="D28" s="64" t="s">
        <v>265</v>
      </c>
      <c r="E28" s="65"/>
      <c r="F28" s="65"/>
      <c r="G28" s="66"/>
      <c r="H28" s="1"/>
      <c r="I28" s="1"/>
    </row>
    <row r="29" spans="1:9" x14ac:dyDescent="0.25">
      <c r="A29" s="1"/>
      <c r="B29" s="1"/>
      <c r="C29" s="6" t="s">
        <v>340</v>
      </c>
      <c r="D29" s="64" t="s">
        <v>265</v>
      </c>
      <c r="E29" s="65"/>
      <c r="F29" s="65"/>
      <c r="G29" s="66"/>
      <c r="H29" s="1"/>
      <c r="I29" s="1"/>
    </row>
    <row r="30" spans="1:9" x14ac:dyDescent="0.25">
      <c r="A30" s="1"/>
      <c r="B30" s="1"/>
      <c r="C30" s="6" t="s">
        <v>338</v>
      </c>
      <c r="D30" s="72" t="s">
        <v>128</v>
      </c>
      <c r="E30" s="73"/>
      <c r="F30" s="73"/>
      <c r="G30" s="74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</sheetData>
  <sheetProtection algorithmName="SHA-512" hashValue="48tM5XpTjUJeKH0YYbV0d9RDq2A+IC1d4dFpoKBmKNoe97J6sw8tt0e2TEQWh0H/RDwGkxv3JXA5069wQJw+DQ==" saltValue="lvYwJjRlOskx3j9qHQRxMQ==" spinCount="100000" sheet="1" objects="1" scenarios="1"/>
  <mergeCells count="21">
    <mergeCell ref="D27:G27"/>
    <mergeCell ref="D30:G30"/>
    <mergeCell ref="D21:G21"/>
    <mergeCell ref="D23:G23"/>
    <mergeCell ref="D24:G24"/>
    <mergeCell ref="D26:G26"/>
    <mergeCell ref="D25:G25"/>
    <mergeCell ref="D28:G28"/>
    <mergeCell ref="D29:G29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2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1:G21" location="'Fane 6. Ikke-påvirkelige omk.'!A1" display="Ikke-påvirkelige omkostninger"/>
    <hyperlink ref="D22:G22" location="'Fane 7. Kontrol af ØR2019'!A1" display="Kontrol af den økonomiske ramme for 2019"/>
    <hyperlink ref="D23:G23" location="'Fane 8. Anlægsprojekter'!A1" display="Anlægsprojekter"/>
    <hyperlink ref="D30:G30" location="'Fane 12. Nøgletal'!A1" display="Nøgletal"/>
    <hyperlink ref="D17:G17" location="'Fane 3. Omkostninger i ØR2020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  <hyperlink ref="D28:G28" location="'Fane 12.1. Uhjemlet rentepost'!A1" display="Uhjelmlet rentepost"/>
    <hyperlink ref="D29:G29" location="'Fane 12.2. Uhjemlet rentepost'!A1" display="Uhjemlet rentepost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3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8" t="s">
        <v>139</v>
      </c>
      <c r="C3" s="78"/>
      <c r="D3" s="78"/>
      <c r="E3" s="1"/>
      <c r="F3" s="1"/>
    </row>
    <row r="4" spans="1:6" ht="15" customHeight="1" x14ac:dyDescent="0.25">
      <c r="A4" s="1"/>
      <c r="B4" s="78"/>
      <c r="C4" s="78"/>
      <c r="D4" s="78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01" t="s">
        <v>167</v>
      </c>
      <c r="C8" s="102"/>
      <c r="D8" s="103"/>
      <c r="E8" s="1"/>
      <c r="F8" s="1"/>
    </row>
    <row r="9" spans="1:6" ht="15" customHeight="1" x14ac:dyDescent="0.25">
      <c r="A9" s="1"/>
      <c r="B9" s="49" t="s">
        <v>35</v>
      </c>
      <c r="C9" s="11" t="s">
        <v>170</v>
      </c>
      <c r="D9" s="11"/>
      <c r="E9" s="1"/>
      <c r="F9" s="1"/>
    </row>
    <row r="10" spans="1:6" ht="15" customHeight="1" x14ac:dyDescent="0.25">
      <c r="A10" s="1"/>
      <c r="B10" s="54" t="s">
        <v>233</v>
      </c>
      <c r="C10" s="9">
        <v>15364433</v>
      </c>
      <c r="D10" s="14" t="s">
        <v>3</v>
      </c>
      <c r="E10" s="1"/>
      <c r="F10" s="1"/>
    </row>
    <row r="11" spans="1:6" ht="15" customHeight="1" x14ac:dyDescent="0.25">
      <c r="A11" s="1"/>
      <c r="B11" s="54" t="s">
        <v>234</v>
      </c>
      <c r="C11" s="9">
        <v>84673</v>
      </c>
      <c r="D11" s="14" t="s">
        <v>3</v>
      </c>
      <c r="E11" s="1"/>
      <c r="F11" s="1"/>
    </row>
    <row r="12" spans="1:6" ht="15" customHeight="1" x14ac:dyDescent="0.25">
      <c r="A12" s="1"/>
      <c r="B12" s="54" t="s">
        <v>235</v>
      </c>
      <c r="C12" s="9">
        <v>2963</v>
      </c>
      <c r="D12" s="14" t="s">
        <v>3</v>
      </c>
      <c r="E12" s="1"/>
      <c r="F12" s="1"/>
    </row>
    <row r="13" spans="1:6" x14ac:dyDescent="0.25">
      <c r="A13" s="1"/>
      <c r="B13" s="54" t="s">
        <v>236</v>
      </c>
      <c r="C13" s="9">
        <v>200995</v>
      </c>
      <c r="D13" s="14" t="s">
        <v>3</v>
      </c>
      <c r="E13" s="1"/>
      <c r="F13" s="1"/>
    </row>
    <row r="14" spans="1:6" x14ac:dyDescent="0.25">
      <c r="A14" s="1"/>
      <c r="B14" s="54" t="s">
        <v>237</v>
      </c>
      <c r="C14" s="9">
        <v>33550</v>
      </c>
      <c r="D14" s="14" t="s">
        <v>3</v>
      </c>
      <c r="E14" s="1"/>
      <c r="F14" s="1"/>
    </row>
    <row r="15" spans="1:6" x14ac:dyDescent="0.25">
      <c r="A15" s="1"/>
      <c r="B15" s="54" t="s">
        <v>238</v>
      </c>
      <c r="C15" s="9">
        <v>185689</v>
      </c>
      <c r="D15" s="14" t="s">
        <v>3</v>
      </c>
      <c r="E15" s="1"/>
      <c r="F15" s="1"/>
    </row>
    <row r="16" spans="1:6" x14ac:dyDescent="0.25">
      <c r="A16" s="1"/>
      <c r="B16" s="44" t="s">
        <v>168</v>
      </c>
      <c r="C16" s="12">
        <f>SUM(C10:C15)</f>
        <v>15872303</v>
      </c>
      <c r="D16" s="13" t="s">
        <v>3</v>
      </c>
      <c r="E16" s="1"/>
      <c r="F16" s="1"/>
    </row>
    <row r="17" spans="1:6" x14ac:dyDescent="0.25">
      <c r="A17" s="1"/>
      <c r="B17" s="44" t="s">
        <v>169</v>
      </c>
      <c r="C17" s="12">
        <f>C16*(1+'Fane 13. Nøgletal'!C13)^2</f>
        <v>16261949.626778521</v>
      </c>
      <c r="D17" s="13" t="s">
        <v>3</v>
      </c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16"/>
      <c r="C19" s="15"/>
      <c r="D19" s="15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  <row r="53" spans="1:6" x14ac:dyDescent="0.25">
      <c r="A53" s="1"/>
      <c r="B53" s="1"/>
      <c r="C53" s="1"/>
      <c r="D53" s="1"/>
      <c r="E53" s="1"/>
      <c r="F53" s="1"/>
    </row>
  </sheetData>
  <sheetProtection algorithmName="SHA-512" hashValue="ptBkiPfnywSKKej/YtDDwzHAzxKSmLZjzA2P47P/ENvPcGcgvOjTlNI2sjuo1o3HFjJ3IQQ/y0K7nCn1BIjSZA==" saltValue="NhSO9/Mm0+zydOjU2lPFyQ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ht="29.25" customHeight="1" x14ac:dyDescent="0.25">
      <c r="A2" s="1"/>
      <c r="B2" s="97" t="s">
        <v>171</v>
      </c>
      <c r="C2" s="97"/>
      <c r="D2" s="97"/>
      <c r="E2" s="97"/>
      <c r="F2" s="97"/>
      <c r="G2" s="1"/>
    </row>
    <row r="3" spans="1:7" ht="15" customHeight="1" x14ac:dyDescent="0.25">
      <c r="A3" s="1"/>
      <c r="B3" s="97"/>
      <c r="C3" s="97"/>
      <c r="D3" s="97"/>
      <c r="E3" s="97"/>
      <c r="F3" s="97"/>
      <c r="G3" s="1"/>
    </row>
    <row r="4" spans="1:7" ht="15" customHeight="1" x14ac:dyDescent="0.25">
      <c r="A4" s="1"/>
      <c r="B4" s="101" t="s">
        <v>39</v>
      </c>
      <c r="C4" s="102"/>
      <c r="D4" s="102"/>
      <c r="E4" s="102"/>
      <c r="F4" s="103"/>
      <c r="G4" s="1"/>
    </row>
    <row r="5" spans="1:7" ht="15" customHeight="1" x14ac:dyDescent="0.25">
      <c r="A5" s="1"/>
      <c r="B5" s="104" t="s">
        <v>37</v>
      </c>
      <c r="C5" s="105"/>
      <c r="D5" s="106"/>
      <c r="E5" s="9">
        <v>-1413611.7583333333</v>
      </c>
      <c r="F5" s="14" t="s">
        <v>3</v>
      </c>
      <c r="G5" s="1"/>
    </row>
    <row r="6" spans="1:7" ht="15" customHeight="1" x14ac:dyDescent="0.25">
      <c r="A6" s="1"/>
      <c r="B6" s="104" t="s">
        <v>38</v>
      </c>
      <c r="C6" s="105"/>
      <c r="D6" s="106"/>
      <c r="E6" s="9">
        <v>0</v>
      </c>
      <c r="F6" s="14" t="s">
        <v>3</v>
      </c>
      <c r="G6" s="1"/>
    </row>
    <row r="7" spans="1:7" ht="15" customHeight="1" x14ac:dyDescent="0.25">
      <c r="A7" s="1"/>
      <c r="B7" s="112" t="s">
        <v>130</v>
      </c>
      <c r="C7" s="113"/>
      <c r="D7" s="114"/>
      <c r="E7" s="10">
        <f>SUM(E5:E6)</f>
        <v>-1413611.7583333333</v>
      </c>
      <c r="F7" s="17" t="s">
        <v>3</v>
      </c>
      <c r="G7" s="1"/>
    </row>
    <row r="8" spans="1:7" ht="15" customHeight="1" x14ac:dyDescent="0.25">
      <c r="A8" s="1"/>
      <c r="B8" s="44"/>
      <c r="C8" s="45"/>
      <c r="D8" s="45"/>
      <c r="E8" s="45"/>
      <c r="F8" s="20"/>
      <c r="G8" s="1"/>
    </row>
    <row r="9" spans="1:7" ht="28.5" customHeight="1" x14ac:dyDescent="0.25">
      <c r="A9" s="1"/>
      <c r="B9" s="80" t="s">
        <v>131</v>
      </c>
      <c r="C9" s="81"/>
      <c r="D9" s="81"/>
      <c r="E9" s="81"/>
      <c r="F9" s="82"/>
      <c r="G9" s="1"/>
    </row>
    <row r="10" spans="1:7" ht="28.5" customHeight="1" x14ac:dyDescent="0.25">
      <c r="A10" s="1"/>
      <c r="B10" s="1"/>
      <c r="C10" s="1"/>
      <c r="D10" s="1"/>
      <c r="E10" s="1"/>
      <c r="F10" s="1"/>
      <c r="G10" s="1"/>
    </row>
    <row r="11" spans="1:7" x14ac:dyDescent="0.25">
      <c r="A11" s="1"/>
      <c r="B11" s="101" t="s">
        <v>116</v>
      </c>
      <c r="C11" s="102"/>
      <c r="D11" s="102"/>
      <c r="E11" s="102"/>
      <c r="F11" s="103"/>
      <c r="G11" s="1"/>
    </row>
    <row r="12" spans="1:7" x14ac:dyDescent="0.25">
      <c r="A12" s="1"/>
      <c r="B12" s="104" t="s">
        <v>117</v>
      </c>
      <c r="C12" s="105"/>
      <c r="D12" s="106"/>
      <c r="E12" s="9">
        <v>39735327.762274705</v>
      </c>
      <c r="F12" s="14" t="s">
        <v>3</v>
      </c>
      <c r="G12" s="1"/>
    </row>
    <row r="13" spans="1:7" x14ac:dyDescent="0.25">
      <c r="A13" s="1"/>
      <c r="B13" s="104" t="s">
        <v>118</v>
      </c>
      <c r="C13" s="105"/>
      <c r="D13" s="106"/>
      <c r="E13" s="9">
        <v>35637540</v>
      </c>
      <c r="F13" s="14" t="s">
        <v>3</v>
      </c>
      <c r="G13" s="1"/>
    </row>
    <row r="14" spans="1:7" x14ac:dyDescent="0.25">
      <c r="A14" s="1"/>
      <c r="B14" s="104" t="s">
        <v>36</v>
      </c>
      <c r="C14" s="105"/>
      <c r="D14" s="106"/>
      <c r="E14" s="9">
        <v>0</v>
      </c>
      <c r="F14" s="14" t="s">
        <v>3</v>
      </c>
      <c r="G14" s="1"/>
    </row>
    <row r="15" spans="1:7" x14ac:dyDescent="0.25">
      <c r="A15" s="1"/>
      <c r="B15" s="112" t="s">
        <v>207</v>
      </c>
      <c r="C15" s="113"/>
      <c r="D15" s="114"/>
      <c r="E15" s="10">
        <f>E12-(E13-E14)</f>
        <v>4097787.7622747049</v>
      </c>
      <c r="F15" s="17" t="s">
        <v>3</v>
      </c>
      <c r="G15" s="1"/>
    </row>
    <row r="16" spans="1:7" x14ac:dyDescent="0.25">
      <c r="A16" s="1"/>
      <c r="B16" s="44"/>
      <c r="C16" s="45"/>
      <c r="D16" s="45"/>
      <c r="E16" s="45"/>
      <c r="F16" s="20"/>
      <c r="G16" s="1"/>
    </row>
    <row r="17" spans="1:7" ht="30" customHeight="1" x14ac:dyDescent="0.25">
      <c r="A17" s="1"/>
      <c r="B17" s="80" t="s">
        <v>132</v>
      </c>
      <c r="C17" s="81"/>
      <c r="D17" s="81"/>
      <c r="E17" s="81"/>
      <c r="F17" s="82"/>
      <c r="G17" s="1"/>
    </row>
    <row r="18" spans="1:7" ht="28.5" customHeight="1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01" t="s">
        <v>50</v>
      </c>
      <c r="C19" s="102"/>
      <c r="D19" s="102"/>
      <c r="E19" s="102"/>
      <c r="F19" s="103"/>
      <c r="G19" s="1"/>
    </row>
    <row r="20" spans="1:7" x14ac:dyDescent="0.25">
      <c r="A20" s="1"/>
      <c r="B20" s="104" t="s">
        <v>51</v>
      </c>
      <c r="C20" s="105"/>
      <c r="D20" s="106"/>
      <c r="E20" s="9">
        <v>35246322.445036754</v>
      </c>
      <c r="F20" s="14" t="s">
        <v>3</v>
      </c>
      <c r="G20" s="1"/>
    </row>
    <row r="21" spans="1:7" x14ac:dyDescent="0.25">
      <c r="A21" s="1"/>
      <c r="B21" s="104" t="s">
        <v>52</v>
      </c>
      <c r="C21" s="105"/>
      <c r="D21" s="106"/>
      <c r="E21" s="9">
        <v>35234497</v>
      </c>
      <c r="F21" s="14" t="s">
        <v>3</v>
      </c>
      <c r="G21" s="1"/>
    </row>
    <row r="22" spans="1:7" x14ac:dyDescent="0.25">
      <c r="A22" s="1"/>
      <c r="B22" s="104" t="s">
        <v>36</v>
      </c>
      <c r="C22" s="105"/>
      <c r="D22" s="106"/>
      <c r="E22" s="9">
        <v>0</v>
      </c>
      <c r="F22" s="14" t="s">
        <v>3</v>
      </c>
      <c r="G22" s="1"/>
    </row>
    <row r="23" spans="1:7" x14ac:dyDescent="0.25">
      <c r="A23" s="1"/>
      <c r="B23" s="112" t="s">
        <v>208</v>
      </c>
      <c r="C23" s="113"/>
      <c r="D23" s="114"/>
      <c r="E23" s="10">
        <f>E20-(E21-E22)</f>
        <v>11825.445036754012</v>
      </c>
      <c r="F23" s="17" t="s">
        <v>3</v>
      </c>
      <c r="G23" s="1"/>
    </row>
    <row r="24" spans="1:7" x14ac:dyDescent="0.25">
      <c r="A24" s="1"/>
      <c r="B24" s="44"/>
      <c r="C24" s="45"/>
      <c r="D24" s="45"/>
      <c r="E24" s="45"/>
      <c r="F24" s="20"/>
      <c r="G24" s="1"/>
    </row>
    <row r="25" spans="1:7" ht="28.5" customHeight="1" x14ac:dyDescent="0.25">
      <c r="A25" s="1"/>
      <c r="B25" s="80" t="s">
        <v>178</v>
      </c>
      <c r="C25" s="81"/>
      <c r="D25" s="81"/>
      <c r="E25" s="81"/>
      <c r="F25" s="82"/>
      <c r="G25" s="1"/>
    </row>
    <row r="26" spans="1:7" ht="28.5" customHeight="1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01" t="s">
        <v>199</v>
      </c>
      <c r="C27" s="102"/>
      <c r="D27" s="102"/>
      <c r="E27" s="102"/>
      <c r="F27" s="103"/>
      <c r="G27" s="1"/>
    </row>
    <row r="28" spans="1:7" x14ac:dyDescent="0.25">
      <c r="A28" s="1"/>
      <c r="B28" s="104" t="s">
        <v>200</v>
      </c>
      <c r="C28" s="105"/>
      <c r="D28" s="106"/>
      <c r="E28" s="9">
        <v>35329750.542548597</v>
      </c>
      <c r="F28" s="14" t="s">
        <v>3</v>
      </c>
      <c r="G28" s="1"/>
    </row>
    <row r="29" spans="1:7" x14ac:dyDescent="0.25">
      <c r="A29" s="1"/>
      <c r="B29" s="104" t="s">
        <v>201</v>
      </c>
      <c r="C29" s="105"/>
      <c r="D29" s="106"/>
      <c r="E29" s="9">
        <v>34419549</v>
      </c>
      <c r="F29" s="14" t="s">
        <v>3</v>
      </c>
      <c r="G29" s="1"/>
    </row>
    <row r="30" spans="1:7" x14ac:dyDescent="0.25">
      <c r="A30" s="1"/>
      <c r="B30" s="104" t="s">
        <v>36</v>
      </c>
      <c r="C30" s="105"/>
      <c r="D30" s="106"/>
      <c r="E30" s="9">
        <v>0</v>
      </c>
      <c r="F30" s="14" t="s">
        <v>3</v>
      </c>
      <c r="G30" s="1"/>
    </row>
    <row r="31" spans="1:7" x14ac:dyDescent="0.25">
      <c r="A31" s="1"/>
      <c r="B31" s="112" t="s">
        <v>209</v>
      </c>
      <c r="C31" s="113"/>
      <c r="D31" s="114"/>
      <c r="E31" s="10">
        <f>E28-(E29-E30)</f>
        <v>910201.54254859686</v>
      </c>
      <c r="F31" s="17" t="s">
        <v>3</v>
      </c>
      <c r="G31" s="1"/>
    </row>
    <row r="32" spans="1:7" x14ac:dyDescent="0.25">
      <c r="A32" s="1"/>
      <c r="B32" s="44"/>
      <c r="C32" s="45"/>
      <c r="D32" s="45"/>
      <c r="E32" s="45"/>
      <c r="F32" s="20"/>
      <c r="G32" s="1"/>
    </row>
    <row r="33" spans="1:7" ht="28.5" customHeight="1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01" t="s">
        <v>125</v>
      </c>
      <c r="C34" s="102"/>
      <c r="D34" s="102"/>
      <c r="E34" s="102"/>
      <c r="F34" s="103"/>
      <c r="G34" s="1"/>
    </row>
    <row r="35" spans="1:7" x14ac:dyDescent="0.25">
      <c r="A35" s="1"/>
      <c r="B35" s="115" t="s">
        <v>273</v>
      </c>
      <c r="C35" s="116"/>
      <c r="D35" s="117"/>
      <c r="E35" s="9">
        <v>0</v>
      </c>
      <c r="F35" s="14"/>
      <c r="G35" s="1"/>
    </row>
    <row r="36" spans="1:7" x14ac:dyDescent="0.25">
      <c r="A36" s="1"/>
      <c r="B36" s="115" t="s">
        <v>274</v>
      </c>
      <c r="C36" s="116"/>
      <c r="D36" s="117"/>
      <c r="E36" s="9">
        <v>0</v>
      </c>
      <c r="F36" s="14"/>
      <c r="G36" s="1"/>
    </row>
    <row r="37" spans="1:7" x14ac:dyDescent="0.25">
      <c r="A37" s="1"/>
      <c r="B37" s="115" t="s">
        <v>113</v>
      </c>
      <c r="C37" s="116"/>
      <c r="D37" s="117"/>
      <c r="E37" s="9">
        <f>IF(AND(E7&lt;0,E15&gt;0,ABS(E15)&gt;ABS(E7),E23&gt;0,E31&gt;0),0,IF(AND(E7&lt;0,E15&gt;0,ABS(E15)&gt;ABS(E7),E23&lt;0,E31&gt;0,ABS(E7+E15)&gt;ABS(E23)),0,IF(AND(E7&lt;0,E15&gt;0,ABS(E15)&gt;ABS(E7),E23&lt;0,E31&gt;0,ABS(E7+E15)&lt;ABS(E23),ABS(E31)&gt;ABS(E15+E23)),0,IF(AND(E7&lt;0,E15&gt;0,ABS(E15)&gt;ABS(E7),E23&lt;0,E31&gt;0,ABS(E7+E15)&lt;ABS(E23),ABS(E31)&lt;ABS(E7+E15+E23)),(E7+E15+E23),IF(AND(E7&lt;0,E15&gt;0,ABS(E15)&gt;ABS(E7),E23&gt;0,E31&lt;0,ABS(E23)&gt;ABS(E31)),0,IF(AND(E35=0,E36=0,E7&lt;0,E15&gt;0,ABS(E15)&gt;ABS(E7),E23&gt;0,E31&lt;0,ABS(E31)&gt;ABS(E23)),(E23+E31),IF(AND(E35=1,E36=1,E7&lt;0,E15&gt;0,ABS(E15)&gt;ABS(E7),E23&gt;0,E31&lt;0,ABS(E31)&gt;ABS(E7+E15+E23)),(E7+E15+E23+E31),IF(AND(E35=1,E36=1,E7&lt;0,E15&gt;0,ABS(E15)&gt;ABS(E7),E23&gt;0,E31&lt;0,ABS(E31)&lt;ABS(E7+E15+E23)),0,IF(AND(E35=0,E36=0,E7&lt;0,E15&gt;0,ABS(E15)&gt;ABS(E7),E23&lt;0,E31&lt;0,ABS(E7+E15)&gt;ABS(E23)),E31,IF(AND(E35=1,E36=0,E7&lt;0,E15&gt;0,ABS(E15)&gt;ABS(E7),E23&lt;0,E31&lt;0,ABS(E7+E15)&gt;ABS(E23),ABS(E7+E15+E23)&gt;ABS(E31)),0,IF(AND(E35=1,E36=0,E7&lt;0,E15&gt;0,ABS(E15)&gt;ABS(E7),E23&lt;0,E31&lt;0,ABS(E7+E15)&gt;ABS(E23),ABS(E7+E15+E23)&lt;ABS(E31)),(E7+E15+E23+E31),IF(AND(E7&lt;0,E15&gt;0,ABS(E15)&gt;ABS(E7),E23&lt;0,E31&lt;0,ABS(E23)&gt;ABS(E7+E15)),(E7+E15+E23+E31),IF(AND(E7&lt;0,E15&lt;0,E23&lt;0,E31&lt;0),(E23+E31),IF(AND(E7&lt;0,E15&lt;0,E23&lt;0,E31&gt;0),E23,IF(AND(E7&lt;0,E15&lt;0,E23&gt;0,E31&lt;0,ABS(E31)&lt;ABS(E15+E23),ABS(E23)&gt;ABS(E15)),0,IF(AND(E7&lt;0,E15&lt;0,E23&gt;0,E31&lt;0,ABS(E31)&gt;ABS(E15+E23),ABS(E23)&gt;ABS(E15)),(E31+(E15+E23)),IF(AND(E7&lt;0,E15&lt;0,E23&gt;0,E31&lt;0,ABS(E15)&gt;ABS(E23)),E31,IF(AND(E7&lt;0,E15&lt;0,E23&gt;0,E31&gt;0),0,IF(AND(E7&gt;0,E15&gt;0,E23&gt;0,E31&gt;0),0,IF(AND(E7&gt;0,E15&gt;0,E23&lt;0,E31&gt;0,ABS(E15)&gt;ABS(E23)),0,IF(AND(E7&gt;0,E15&gt;0,E23&lt;0,E31&gt;0,ABS(E15)&lt;ABS(E23)),(E15+E23),IF(AND(E7&gt;0,E15&gt;0,E23&gt;0,E31&lt;0,ABS(E23)&gt;ABS(E31)),0,IF(AND(E35=0,E36=0,E7&gt;0,E15&gt;0,E23&gt;0,E31&lt;0,ABS(E31)&gt;ABS(E23)),(E23+E31),IF(AND(E35=1,E36=1,E7&gt;0,E15&gt;0,E23&gt;0,E31&lt;0,ABS(E31)&gt;ABS(E15+E23)),(E15+E23+E31),IF(AND(E35=1,E36=1,E7&gt;0,E15&gt;0,E23&gt;0,E31&lt;0,ABS(E31)&lt;ABS(E15+E23)),0,IF(AND(E35=0,E36=0,E7&gt;0,E15&gt;0,E23&lt;0,E31&lt;0,ABS(E15)&gt;ABS(E23)),E31,IF(AND(E35=1,E36=0,E7&gt;0,E15&gt;0,E23&lt;0,E31&lt;0,ABS(E15)&gt;ABS(E23),ABS(E15+E23)&gt;ABS(E31)),0,IF(AND(E35=1,E36=0,E7&gt;0,E15&gt;0,E23&lt;0,E31&lt;0,ABS(E15)&gt;ABS(E23),ABS(E15+E23)&lt;ABS(E31)),(E15+E23+E31),IF(AND(E7&gt;0,E15&gt;0,E23&lt;0,E31&lt;0,ABS(E23)&gt;ABS(E15)),(E15+E23+E31),IF(AND(E7&gt;0,E15&lt;0,ABS(E15)&gt;ABS(E7),E23&lt;0,E31&lt;0),(E23+E31),IF(AND(E7&gt;0,E15&lt;0,ABS(E15)&gt;ABS(E7),E23&lt;0,E31&gt;0),E23,IF(AND(E7&gt;0,E15&lt;0,ABS(E15)&gt;ABS(E7),E23&gt;0,E31&lt;0,ABS(E23)&gt;ABS(E7+E15),ABS(E31)&lt;ABS(E7+E15+E23)),0,IF(AND(E7&gt;0,E15&lt;0,ABS(E15)&gt;ABS(E7),E23&gt;0,E31&lt;0,ABS(E23)&gt;ABS(E7+E15),ABS(E31)&gt;ABS(E7+E15+E23)),(E31+(E7+E15+E23)),IF(AND(E7&gt;0,E15&lt;0,ABS(E15)&gt;ABS(E7),E23&gt;0,E31&lt;0,ABS(E7+E15)&gt;ABS(E23)),E31,IF(AND(E7&gt;0,E15&lt;0,ABS(E15)&gt;ABS(E7),E23&gt;0,E31&gt;0),0,IF(AND(E7&gt;0,E15&lt;0,ABS(E7)&gt;ABS(E15),E23&lt;0,E31&gt;0),E23,IF(AND(E7&gt;0,E15&lt;0,ABS(E7)&gt;ABS(E15),E23&gt;0,E31&gt;0),0,IF(AND(E7&gt;0,E15&lt;0,ABS(E7)&gt;ABS(E15),E23&lt;0,E31&lt;0),(E23+E31),IF(AND(E7&gt;0,E15&lt;0,ABS(E7)&gt;ABS(E15),E23&gt;0,E31&lt;0,ABS(E23)&gt;ABS(E31)),0,IF(AND(E7&gt;0,E15&lt;0,ABS(E7)&gt;ABS(E15),E23&gt;0,E31&lt;0,ABS(E23)&lt;ABS(E31)),(E23+E31),IF(AND(E7&lt;0,E15&gt;0,ABS(E7)&gt;ABS(E15),E23&lt;0,E31&gt;0),E23,IF(AND(E7&lt;0,E15&gt;0,ABS(E7)&gt;ABS(E15),E23&gt;0,E31&gt;0),0,IF(AND(E7&lt;0,E15&gt;0,ABS(E7)&gt;ABS(E15),E23&lt;0,E31&lt;0),(E23+E31),IF(AND(E7&lt;0,E15&gt;0,ABS(E7)&gt;ABS(E15),E23&gt;0,E31&lt;0,ABS(E23)&gt;ABS(E31)),0,IF(AND(E7&lt;0,E15&gt;0,ABS(E7)&gt;ABS(E15),E23&gt;0,E31&lt;0,ABS(E23)&lt;ABS(E31)),(E23+E31),FALSE)))))))))))))))))))))))))))))))))))))))))))))</f>
        <v>0</v>
      </c>
      <c r="F37" s="14" t="s">
        <v>3</v>
      </c>
      <c r="G37" s="1"/>
    </row>
    <row r="38" spans="1:7" x14ac:dyDescent="0.25">
      <c r="A38" s="1"/>
      <c r="B38" s="115" t="s">
        <v>129</v>
      </c>
      <c r="C38" s="116"/>
      <c r="D38" s="117"/>
      <c r="E38" s="9">
        <v>2</v>
      </c>
      <c r="F38" s="14" t="s">
        <v>19</v>
      </c>
      <c r="G38" s="1"/>
    </row>
    <row r="39" spans="1:7" ht="15" customHeight="1" x14ac:dyDescent="0.25">
      <c r="A39" s="1"/>
      <c r="B39" s="118" t="s">
        <v>202</v>
      </c>
      <c r="C39" s="118"/>
      <c r="D39" s="118"/>
      <c r="E39" s="10">
        <f>E37/E38</f>
        <v>0</v>
      </c>
      <c r="F39" s="17" t="s">
        <v>3</v>
      </c>
      <c r="G39" s="1"/>
    </row>
    <row r="40" spans="1:7" x14ac:dyDescent="0.25">
      <c r="A40" s="1"/>
      <c r="B40" s="101"/>
      <c r="C40" s="102"/>
      <c r="D40" s="102"/>
      <c r="E40" s="102"/>
      <c r="F40" s="103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4" spans="1:7" x14ac:dyDescent="0.25">
      <c r="A44" s="36"/>
      <c r="B44" s="36"/>
      <c r="C44" s="36"/>
      <c r="D44" s="36"/>
      <c r="E44" s="36"/>
      <c r="F44" s="36"/>
      <c r="G44" s="36"/>
    </row>
    <row r="45" spans="1:7" x14ac:dyDescent="0.25">
      <c r="A45" s="36"/>
      <c r="B45" s="36"/>
      <c r="C45" s="36"/>
      <c r="D45" s="36"/>
      <c r="E45" s="36"/>
      <c r="F45" s="36"/>
      <c r="G45" s="36"/>
    </row>
    <row r="46" spans="1:7" x14ac:dyDescent="0.25">
      <c r="A46" s="36"/>
      <c r="B46" s="36"/>
      <c r="C46" s="36"/>
      <c r="D46" s="36"/>
      <c r="E46" s="36"/>
      <c r="F46" s="36"/>
      <c r="G46" s="36"/>
    </row>
    <row r="47" spans="1:7" x14ac:dyDescent="0.25">
      <c r="A47" s="36"/>
      <c r="B47" s="36"/>
      <c r="C47" s="36"/>
      <c r="D47" s="36"/>
      <c r="E47" s="36"/>
      <c r="F47" s="36"/>
      <c r="G47" s="36"/>
    </row>
  </sheetData>
  <sheetProtection algorithmName="SHA-512" hashValue="kgbiZ1HSHriaz36t4k70y8s2sHHgemYND2mcBBh7iVDNB2iFcH78JF+AHhMXRf44YlWrGNe5PYNf+AwlnOPxvQ==" saltValue="uy74w3qFCNr3b40qH/oeuw==" spinCount="100000" sheet="1" objects="1" scenarios="1"/>
  <mergeCells count="30">
    <mergeCell ref="B40:F40"/>
    <mergeCell ref="B23:D23"/>
    <mergeCell ref="B34:F34"/>
    <mergeCell ref="B37:D37"/>
    <mergeCell ref="B38:D38"/>
    <mergeCell ref="B39:D39"/>
    <mergeCell ref="B27:F27"/>
    <mergeCell ref="B28:D28"/>
    <mergeCell ref="B29:D29"/>
    <mergeCell ref="B30:D30"/>
    <mergeCell ref="B31:D31"/>
    <mergeCell ref="B25:F25"/>
    <mergeCell ref="B35:D35"/>
    <mergeCell ref="B36:D36"/>
    <mergeCell ref="B2:F3"/>
    <mergeCell ref="B19:F19"/>
    <mergeCell ref="B20:D20"/>
    <mergeCell ref="B21:D21"/>
    <mergeCell ref="B22:D22"/>
    <mergeCell ref="B14:D14"/>
    <mergeCell ref="B15:D15"/>
    <mergeCell ref="B4:F4"/>
    <mergeCell ref="B5:D5"/>
    <mergeCell ref="B6:D6"/>
    <mergeCell ref="B7:D7"/>
    <mergeCell ref="B11:F11"/>
    <mergeCell ref="B12:D12"/>
    <mergeCell ref="B13:D13"/>
    <mergeCell ref="B9:F9"/>
    <mergeCell ref="B17:F17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215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01" t="s">
        <v>196</v>
      </c>
      <c r="C8" s="102"/>
      <c r="D8" s="102"/>
      <c r="E8" s="102"/>
      <c r="F8" s="102"/>
      <c r="G8" s="102"/>
      <c r="H8" s="103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33</v>
      </c>
      <c r="H9" s="47"/>
      <c r="I9" s="1"/>
    </row>
    <row r="10" spans="1:9" ht="39" x14ac:dyDescent="0.25">
      <c r="A10" s="1"/>
      <c r="B10" s="38" t="s">
        <v>244</v>
      </c>
      <c r="C10" s="58" t="s">
        <v>245</v>
      </c>
      <c r="D10" s="9">
        <v>14935892</v>
      </c>
      <c r="E10" s="9">
        <f>IFERROR(D10/C10,0)</f>
        <v>1493589.2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101" t="s">
        <v>197</v>
      </c>
      <c r="C11" s="102"/>
      <c r="D11" s="103"/>
      <c r="E11" s="12">
        <f>SUM(E10:E10)</f>
        <v>1493589.2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WUdA9dEqX9c1izOpa3epK5ej9XgV95ZkJ+cGSpb0K/x06/7jAHaxvNHWqmLnrAD75IXzMwE7eaEzpwUijeu6tw==" saltValue="nMH/4I3QH5U1jUTfvPswf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8" t="s">
        <v>214</v>
      </c>
      <c r="C3" s="78"/>
      <c r="D3" s="78"/>
      <c r="E3" s="78"/>
      <c r="F3" s="78"/>
      <c r="G3" s="1"/>
    </row>
    <row r="4" spans="1:7" ht="15" customHeight="1" x14ac:dyDescent="0.25">
      <c r="A4" s="1"/>
      <c r="B4" s="78"/>
      <c r="C4" s="78"/>
      <c r="D4" s="78"/>
      <c r="E4" s="78"/>
      <c r="F4" s="7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4" t="s">
        <v>94</v>
      </c>
      <c r="C8" s="45"/>
      <c r="D8" s="45"/>
      <c r="E8" s="45"/>
      <c r="F8" s="20"/>
      <c r="G8" s="1"/>
    </row>
    <row r="9" spans="1:7" ht="17.25" customHeight="1" x14ac:dyDescent="0.25">
      <c r="A9" s="1"/>
      <c r="B9" s="50" t="s">
        <v>16</v>
      </c>
      <c r="C9" s="50" t="s">
        <v>11</v>
      </c>
      <c r="D9" s="51"/>
      <c r="E9" s="50" t="s">
        <v>34</v>
      </c>
      <c r="F9" s="47"/>
      <c r="G9" s="1"/>
    </row>
    <row r="10" spans="1:7" x14ac:dyDescent="0.25">
      <c r="A10" s="1"/>
      <c r="B10" s="25" t="s">
        <v>44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1493589.2</v>
      </c>
      <c r="F10" s="14" t="s">
        <v>3</v>
      </c>
      <c r="G10" s="1"/>
    </row>
    <row r="11" spans="1:7" x14ac:dyDescent="0.25">
      <c r="A11" s="1"/>
      <c r="B11" s="59" t="s">
        <v>241</v>
      </c>
      <c r="C11" s="22">
        <v>126000</v>
      </c>
      <c r="D11" s="14" t="s">
        <v>3</v>
      </c>
      <c r="E11" s="9">
        <v>17676</v>
      </c>
      <c r="F11" s="14" t="s">
        <v>3</v>
      </c>
      <c r="G11" s="1"/>
    </row>
    <row r="12" spans="1:7" x14ac:dyDescent="0.25">
      <c r="A12" s="1"/>
      <c r="B12" s="25" t="s">
        <v>242</v>
      </c>
      <c r="C12" s="22">
        <v>8855</v>
      </c>
      <c r="D12" s="14" t="s">
        <v>3</v>
      </c>
      <c r="E12" s="9">
        <v>0</v>
      </c>
      <c r="F12" s="14" t="s">
        <v>3</v>
      </c>
      <c r="G12" s="1"/>
    </row>
    <row r="13" spans="1:7" x14ac:dyDescent="0.25">
      <c r="A13" s="1"/>
      <c r="B13" s="44" t="s">
        <v>48</v>
      </c>
      <c r="C13" s="12">
        <f>SUM(C10:C12)</f>
        <v>134855</v>
      </c>
      <c r="D13" s="13" t="s">
        <v>3</v>
      </c>
      <c r="E13" s="12">
        <f>SUM(E10:E12)</f>
        <v>1511265.2</v>
      </c>
      <c r="F13" s="13" t="s">
        <v>3</v>
      </c>
      <c r="G13" s="1"/>
    </row>
    <row r="14" spans="1:7" x14ac:dyDescent="0.25">
      <c r="A14" s="1"/>
      <c r="B14" s="44" t="s">
        <v>172</v>
      </c>
      <c r="C14" s="12">
        <f>C13*(1+'Fane 13. Nøgletal'!C13)</f>
        <v>136500.231</v>
      </c>
      <c r="D14" s="13" t="s">
        <v>3</v>
      </c>
      <c r="E14" s="12">
        <f>E13*(1+'Fane 13. Nøgletal'!C13)</f>
        <v>1529702.6354399999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ylPeptAc0oldL1d/In6cuGsfbb7xinGeH/Ex+nBciXGAQybye0zBlalkyTtH49EYUPn/2lfm0SFi/4lUPLhI9w==" saltValue="JpIv9NWMf1bMS7BoEqQPa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8" t="s">
        <v>213</v>
      </c>
      <c r="C3" s="78"/>
      <c r="D3" s="78"/>
      <c r="E3" s="78"/>
      <c r="F3" s="78"/>
      <c r="G3" s="1"/>
    </row>
    <row r="4" spans="1:7" ht="15" customHeight="1" x14ac:dyDescent="0.25">
      <c r="A4" s="1"/>
      <c r="B4" s="78"/>
      <c r="C4" s="78"/>
      <c r="D4" s="78"/>
      <c r="E4" s="78"/>
      <c r="F4" s="7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01" t="s">
        <v>119</v>
      </c>
      <c r="C8" s="102"/>
      <c r="D8" s="102"/>
      <c r="E8" s="102"/>
      <c r="F8" s="103"/>
      <c r="G8" s="1"/>
    </row>
    <row r="9" spans="1:7" x14ac:dyDescent="0.25">
      <c r="A9" s="1"/>
      <c r="B9" s="50" t="s">
        <v>16</v>
      </c>
      <c r="C9" s="50" t="s">
        <v>11</v>
      </c>
      <c r="D9" s="51"/>
      <c r="E9" s="50" t="s">
        <v>34</v>
      </c>
      <c r="F9" s="47"/>
      <c r="G9" s="1"/>
    </row>
    <row r="10" spans="1:7" x14ac:dyDescent="0.25">
      <c r="A10" s="1"/>
      <c r="B10" s="25" t="s">
        <v>242</v>
      </c>
      <c r="C10" s="22">
        <v>70842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4" t="s">
        <v>173</v>
      </c>
      <c r="C11" s="12">
        <f>SUM(C10:C10)</f>
        <v>70842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9</v>
      </c>
      <c r="C12" s="28">
        <f>-C11*'Fane 5. Individuelt eff. krav'!G10</f>
        <v>-36.662992369120431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123</v>
      </c>
      <c r="C13" s="28">
        <f>-C11*'Fane 13. Nøgletal'!C27</f>
        <v>-1416.84</v>
      </c>
      <c r="D13" s="29" t="s">
        <v>3</v>
      </c>
      <c r="E13" s="28">
        <f>-E11*'Fane 13. Nøgletal'!C22</f>
        <v>0</v>
      </c>
      <c r="F13" s="29" t="s">
        <v>3</v>
      </c>
      <c r="G13" s="1"/>
    </row>
    <row r="14" spans="1:7" x14ac:dyDescent="0.25">
      <c r="A14" s="1"/>
      <c r="B14" s="44" t="s">
        <v>122</v>
      </c>
      <c r="C14" s="12">
        <f>SUM(C11:C13)*(1+'Fane 13. Nøgletal'!C13)^2</f>
        <v>71091.904118511695</v>
      </c>
      <c r="D14" s="13" t="s">
        <v>3</v>
      </c>
      <c r="E14" s="12">
        <f>SUM(E11:E13)*(1+'Fane 13.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01" t="s">
        <v>120</v>
      </c>
      <c r="C16" s="102"/>
      <c r="D16" s="102"/>
      <c r="E16" s="102"/>
      <c r="F16" s="103"/>
      <c r="G16" s="1"/>
    </row>
    <row r="17" spans="1:7" x14ac:dyDescent="0.25">
      <c r="A17" s="1"/>
      <c r="B17" s="50" t="s">
        <v>16</v>
      </c>
      <c r="C17" s="50" t="s">
        <v>11</v>
      </c>
      <c r="D17" s="51"/>
      <c r="E17" s="50" t="s">
        <v>34</v>
      </c>
      <c r="F17" s="47"/>
      <c r="G17" s="1"/>
    </row>
    <row r="18" spans="1:7" x14ac:dyDescent="0.25">
      <c r="A18" s="1"/>
      <c r="B18" s="25" t="s">
        <v>243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4" t="s">
        <v>173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123</v>
      </c>
      <c r="C21" s="28">
        <f>-C19*'Fane 13. Nøgletal'!C27</f>
        <v>0</v>
      </c>
      <c r="D21" s="29" t="s">
        <v>3</v>
      </c>
      <c r="E21" s="28">
        <f>-E19*'Fane 13. Nøgletal'!C22</f>
        <v>0</v>
      </c>
      <c r="F21" s="29" t="s">
        <v>3</v>
      </c>
      <c r="G21" s="1"/>
    </row>
    <row r="22" spans="1:7" x14ac:dyDescent="0.25">
      <c r="A22" s="1"/>
      <c r="B22" s="44" t="s">
        <v>174</v>
      </c>
      <c r="C22" s="12">
        <f>SUM(C19:C21)*(1+'Fane 13. Nøgletal'!C13)^3</f>
        <v>0</v>
      </c>
      <c r="D22" s="13" t="s">
        <v>3</v>
      </c>
      <c r="E22" s="12">
        <f>SUM(E19:E21)*(1+'Fane 13.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01" t="s">
        <v>121</v>
      </c>
      <c r="C24" s="102"/>
      <c r="D24" s="102"/>
      <c r="E24" s="102"/>
      <c r="F24" s="103"/>
      <c r="G24" s="1"/>
    </row>
    <row r="25" spans="1:7" x14ac:dyDescent="0.25">
      <c r="A25" s="1"/>
      <c r="B25" s="50" t="s">
        <v>16</v>
      </c>
      <c r="C25" s="50" t="s">
        <v>11</v>
      </c>
      <c r="D25" s="51"/>
      <c r="E25" s="50" t="s">
        <v>34</v>
      </c>
      <c r="F25" s="47"/>
      <c r="G25" s="1"/>
    </row>
    <row r="26" spans="1:7" x14ac:dyDescent="0.25">
      <c r="A26" s="1"/>
      <c r="B26" s="25" t="s">
        <v>243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4" t="s">
        <v>173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123</v>
      </c>
      <c r="C29" s="28">
        <f>-C27*'Fane 13. Nøgletal'!C27</f>
        <v>0</v>
      </c>
      <c r="D29" s="29" t="s">
        <v>3</v>
      </c>
      <c r="E29" s="28">
        <f>-E27*'Fane 13. Nøgletal'!C22</f>
        <v>0</v>
      </c>
      <c r="F29" s="29" t="s">
        <v>3</v>
      </c>
      <c r="G29" s="1"/>
    </row>
    <row r="30" spans="1:7" x14ac:dyDescent="0.25">
      <c r="A30" s="1"/>
      <c r="B30" s="44" t="s">
        <v>183</v>
      </c>
      <c r="C30" s="12">
        <f>SUM(C27:C29)*(1+'Fane 13. Nøgletal'!C13)^4</f>
        <v>0</v>
      </c>
      <c r="D30" s="13" t="s">
        <v>3</v>
      </c>
      <c r="E30" s="12">
        <f>SUM(E27:E29)*(1+'Fane 13.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01" t="s">
        <v>175</v>
      </c>
      <c r="C32" s="102"/>
      <c r="D32" s="102"/>
      <c r="E32" s="102"/>
      <c r="F32" s="103"/>
      <c r="G32" s="1"/>
    </row>
    <row r="33" spans="1:7" x14ac:dyDescent="0.25">
      <c r="A33" s="1"/>
      <c r="B33" s="50" t="s">
        <v>16</v>
      </c>
      <c r="C33" s="50" t="s">
        <v>11</v>
      </c>
      <c r="D33" s="51"/>
      <c r="E33" s="50" t="s">
        <v>34</v>
      </c>
      <c r="F33" s="47"/>
      <c r="G33" s="1"/>
    </row>
    <row r="34" spans="1:7" x14ac:dyDescent="0.25">
      <c r="A34" s="1"/>
      <c r="B34" s="25" t="s">
        <v>243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4" t="s">
        <v>173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123</v>
      </c>
      <c r="C37" s="28">
        <f>-C35*'Fane 13. Nøgletal'!C27</f>
        <v>0</v>
      </c>
      <c r="D37" s="29" t="s">
        <v>3</v>
      </c>
      <c r="E37" s="28">
        <f>-E35*'Fane 13. Nøgletal'!C22</f>
        <v>0</v>
      </c>
      <c r="F37" s="29" t="s">
        <v>3</v>
      </c>
      <c r="G37" s="1"/>
    </row>
    <row r="38" spans="1:7" x14ac:dyDescent="0.25">
      <c r="A38" s="1"/>
      <c r="B38" s="44" t="s">
        <v>184</v>
      </c>
      <c r="C38" s="12">
        <f>SUM(C35:C37)*(1+'Fane 13. Nøgletal'!C13)^5</f>
        <v>0</v>
      </c>
      <c r="D38" s="13" t="s">
        <v>3</v>
      </c>
      <c r="E38" s="12">
        <f>SUM(E35:E37)*(1+'Fane 13.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eRgSuF/u2IncZQlm5qhxPF8XRC/BHf1hslr7aY50lohoMFAUJPdcKeBmBZAbeoGSKuRR2hV/9s7Eqf7ik5s40A==" saltValue="e/rxHVMD4LTR1eeWz3twh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7" t="s">
        <v>212</v>
      </c>
      <c r="C3" s="97"/>
      <c r="D3" s="97"/>
      <c r="E3" s="97"/>
      <c r="F3" s="97"/>
      <c r="G3" s="1"/>
    </row>
    <row r="4" spans="1:7" ht="25.5" customHeight="1" x14ac:dyDescent="0.25">
      <c r="A4" s="1"/>
      <c r="B4" s="97"/>
      <c r="C4" s="97"/>
      <c r="D4" s="97"/>
      <c r="E4" s="97"/>
      <c r="F4" s="9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01" t="s">
        <v>155</v>
      </c>
      <c r="C8" s="102"/>
      <c r="D8" s="102"/>
      <c r="E8" s="102"/>
      <c r="F8" s="103"/>
      <c r="G8" s="1"/>
    </row>
    <row r="9" spans="1:7" ht="15" customHeight="1" x14ac:dyDescent="0.25">
      <c r="A9" s="1"/>
      <c r="B9" s="46" t="s">
        <v>156</v>
      </c>
      <c r="C9" s="92" t="s">
        <v>11</v>
      </c>
      <c r="D9" s="94"/>
      <c r="E9" s="92" t="s">
        <v>34</v>
      </c>
      <c r="F9" s="94"/>
      <c r="G9" s="1"/>
    </row>
    <row r="10" spans="1:7" x14ac:dyDescent="0.25">
      <c r="A10" s="1"/>
      <c r="B10" s="25" t="s">
        <v>239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157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176</v>
      </c>
      <c r="C12" s="12">
        <f>C11*(1+'Fane 13. Nøgletal'!C13)</f>
        <v>0</v>
      </c>
      <c r="D12" s="13" t="s">
        <v>3</v>
      </c>
      <c r="E12" s="12">
        <f>E11*(1+'Fane 13.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X4WkSsY81lzGmpHfDJi2kzI++Fz2qN1jRNCi3Y45E0CIgFUxb/RIJZshmQXw1toy8MYFWlY63Q9AhZU18ECkiQ==" saltValue="+Ux6iWJGrsdsWOv2gnBXi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7" t="s">
        <v>211</v>
      </c>
      <c r="C3" s="97"/>
      <c r="D3" s="97"/>
      <c r="E3" s="97"/>
      <c r="F3" s="97"/>
      <c r="G3" s="1"/>
    </row>
    <row r="4" spans="1:7" ht="25.5" customHeight="1" x14ac:dyDescent="0.25">
      <c r="A4" s="1"/>
      <c r="B4" s="97"/>
      <c r="C4" s="97"/>
      <c r="D4" s="97"/>
      <c r="E4" s="97"/>
      <c r="F4" s="9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01" t="s">
        <v>111</v>
      </c>
      <c r="C8" s="102"/>
      <c r="D8" s="102"/>
      <c r="E8" s="102"/>
      <c r="F8" s="103"/>
      <c r="G8" s="1"/>
    </row>
    <row r="9" spans="1:7" ht="15" customHeight="1" x14ac:dyDescent="0.25">
      <c r="A9" s="1"/>
      <c r="B9" s="46" t="s">
        <v>17</v>
      </c>
      <c r="C9" s="46" t="s">
        <v>11</v>
      </c>
      <c r="D9" s="47"/>
      <c r="E9" s="46" t="s">
        <v>34</v>
      </c>
      <c r="F9" s="47"/>
      <c r="G9" s="1"/>
    </row>
    <row r="10" spans="1:7" x14ac:dyDescent="0.25">
      <c r="A10" s="1"/>
      <c r="B10" s="25" t="s">
        <v>240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4" t="s">
        <v>49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4" t="s">
        <v>104</v>
      </c>
      <c r="C12" s="12">
        <f>C11*(1+'Fane 13. Nøgletal'!C13)</f>
        <v>0</v>
      </c>
      <c r="D12" s="13" t="s">
        <v>3</v>
      </c>
      <c r="E12" s="12">
        <f>E11*(1+'Fane 13.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01" t="s">
        <v>110</v>
      </c>
      <c r="C15" s="102"/>
      <c r="D15" s="102"/>
      <c r="E15" s="102"/>
      <c r="F15" s="103"/>
      <c r="G15" s="1"/>
    </row>
    <row r="16" spans="1:7" ht="26.25" x14ac:dyDescent="0.25">
      <c r="A16" s="1"/>
      <c r="B16" s="46" t="s">
        <v>17</v>
      </c>
      <c r="C16" s="46" t="s">
        <v>11</v>
      </c>
      <c r="D16" s="47"/>
      <c r="E16" s="46" t="s">
        <v>34</v>
      </c>
      <c r="F16" s="47"/>
      <c r="G16" s="1"/>
    </row>
    <row r="17" spans="1:7" x14ac:dyDescent="0.25">
      <c r="A17" s="1"/>
      <c r="B17" s="25" t="s">
        <v>240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44" t="s">
        <v>49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44" t="s">
        <v>105</v>
      </c>
      <c r="C19" s="12">
        <f>C18*(1+'Fane 13. Nøgletal'!C13)^2</f>
        <v>0</v>
      </c>
      <c r="D19" s="13" t="s">
        <v>3</v>
      </c>
      <c r="E19" s="12">
        <f>E18*(1+'Fane 13. Nøgletal'!C13)^2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01" t="s">
        <v>112</v>
      </c>
      <c r="C22" s="102"/>
      <c r="D22" s="102"/>
      <c r="E22" s="102"/>
      <c r="F22" s="103"/>
      <c r="G22" s="1"/>
    </row>
    <row r="23" spans="1:7" ht="26.25" x14ac:dyDescent="0.25">
      <c r="A23" s="1"/>
      <c r="B23" s="46" t="s">
        <v>17</v>
      </c>
      <c r="C23" s="46" t="s">
        <v>11</v>
      </c>
      <c r="D23" s="47"/>
      <c r="E23" s="46" t="s">
        <v>34</v>
      </c>
      <c r="F23" s="47"/>
      <c r="G23" s="1"/>
    </row>
    <row r="24" spans="1:7" x14ac:dyDescent="0.25">
      <c r="A24" s="1"/>
      <c r="B24" s="25" t="s">
        <v>240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44" t="s">
        <v>49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44" t="s">
        <v>106</v>
      </c>
      <c r="C26" s="12">
        <f>C25*(1+'Fane 13. Nøgletal'!C13)^3</f>
        <v>0</v>
      </c>
      <c r="D26" s="13" t="s">
        <v>3</v>
      </c>
      <c r="E26" s="12">
        <f>E25*(1+'Fane 13. Nøgletal'!C13)^3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01" t="s">
        <v>181</v>
      </c>
      <c r="C29" s="102"/>
      <c r="D29" s="102"/>
      <c r="E29" s="102"/>
      <c r="F29" s="103"/>
      <c r="G29" s="1"/>
    </row>
    <row r="30" spans="1:7" ht="26.25" x14ac:dyDescent="0.25">
      <c r="A30" s="1"/>
      <c r="B30" s="46" t="s">
        <v>17</v>
      </c>
      <c r="C30" s="46" t="s">
        <v>11</v>
      </c>
      <c r="D30" s="47"/>
      <c r="E30" s="46" t="s">
        <v>34</v>
      </c>
      <c r="F30" s="47"/>
      <c r="G30" s="1"/>
    </row>
    <row r="31" spans="1:7" x14ac:dyDescent="0.25">
      <c r="A31" s="1"/>
      <c r="B31" s="25" t="s">
        <v>240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44" t="s">
        <v>49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44" t="s">
        <v>182</v>
      </c>
      <c r="C33" s="12">
        <f>C32*(1+'Fane 13. Nøgletal'!C13)^4</f>
        <v>0</v>
      </c>
      <c r="D33" s="13" t="s">
        <v>3</v>
      </c>
      <c r="E33" s="12">
        <f>E32*(1+'Fane 13. Nøgletal'!C13)^4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vemUNpXuWFO4VSRp5yOsS0zGVy5tAlbjUyUudGeduHfKv9rIBPUo0IJ1iwmJvEwglB36iVbYVFhgzD4aaqHChA==" saltValue="JzOStlYpQ5jxLaCY4L13u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59.5703125" style="2" customWidth="1"/>
    <col min="3" max="3" width="12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97" t="s">
        <v>336</v>
      </c>
      <c r="C3" s="97"/>
      <c r="D3" s="97"/>
      <c r="E3" s="1"/>
    </row>
    <row r="4" spans="1:5" ht="15" customHeight="1" x14ac:dyDescent="0.25">
      <c r="A4" s="1"/>
      <c r="B4" s="97"/>
      <c r="C4" s="97"/>
      <c r="D4" s="97"/>
      <c r="E4" s="1"/>
    </row>
    <row r="5" spans="1:5" x14ac:dyDescent="0.25">
      <c r="A5" s="1"/>
      <c r="B5" s="97"/>
      <c r="C5" s="97"/>
      <c r="D5" s="97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4" t="s">
        <v>276</v>
      </c>
      <c r="C8" s="45"/>
      <c r="D8" s="20"/>
      <c r="E8" s="1"/>
    </row>
    <row r="9" spans="1:5" x14ac:dyDescent="0.25">
      <c r="A9" s="1"/>
      <c r="B9" s="38" t="s">
        <v>277</v>
      </c>
      <c r="C9" s="9">
        <v>5000000</v>
      </c>
      <c r="D9" s="14" t="s">
        <v>3</v>
      </c>
      <c r="E9" s="1"/>
    </row>
    <row r="10" spans="1:5" x14ac:dyDescent="0.25">
      <c r="A10" s="1"/>
      <c r="B10" s="39" t="s">
        <v>246</v>
      </c>
      <c r="C10" s="9">
        <v>3605632</v>
      </c>
      <c r="D10" s="14" t="s">
        <v>3</v>
      </c>
      <c r="E10" s="1"/>
    </row>
    <row r="11" spans="1:5" x14ac:dyDescent="0.25">
      <c r="A11" s="1"/>
      <c r="B11" s="39" t="s">
        <v>278</v>
      </c>
      <c r="C11" s="9">
        <v>3605235</v>
      </c>
      <c r="D11" s="14" t="s">
        <v>3</v>
      </c>
      <c r="E11" s="1"/>
    </row>
    <row r="12" spans="1:5" x14ac:dyDescent="0.25">
      <c r="A12" s="1"/>
      <c r="B12" s="39" t="s">
        <v>248</v>
      </c>
      <c r="C12" s="9">
        <v>397</v>
      </c>
      <c r="D12" s="14" t="s">
        <v>3</v>
      </c>
      <c r="E12" s="1"/>
    </row>
    <row r="13" spans="1:5" x14ac:dyDescent="0.25">
      <c r="A13" s="1"/>
      <c r="B13" s="39" t="s">
        <v>279</v>
      </c>
      <c r="C13" s="9">
        <v>-1394368</v>
      </c>
      <c r="D13" s="14" t="s">
        <v>3</v>
      </c>
      <c r="E13" s="1"/>
    </row>
    <row r="14" spans="1:5" x14ac:dyDescent="0.25">
      <c r="A14" s="1"/>
      <c r="B14" s="39" t="s">
        <v>258</v>
      </c>
      <c r="C14" s="9">
        <f>-(C9-C12)</f>
        <v>-4999603</v>
      </c>
      <c r="D14" s="14" t="s">
        <v>3</v>
      </c>
      <c r="E14" s="1"/>
    </row>
    <row r="15" spans="1:5" x14ac:dyDescent="0.25">
      <c r="A15" s="1"/>
      <c r="B15" s="50" t="s">
        <v>249</v>
      </c>
      <c r="C15" s="10">
        <f>C14-C13</f>
        <v>-3605235</v>
      </c>
      <c r="D15" s="11" t="s">
        <v>3</v>
      </c>
      <c r="E15" s="1"/>
    </row>
    <row r="16" spans="1:5" x14ac:dyDescent="0.25">
      <c r="A16" s="1"/>
      <c r="B16" s="44" t="s">
        <v>280</v>
      </c>
      <c r="C16" s="45"/>
      <c r="D16" s="20"/>
      <c r="E16" s="1"/>
    </row>
    <row r="17" spans="1:5" ht="15" customHeight="1" x14ac:dyDescent="0.25">
      <c r="A17" s="1"/>
      <c r="B17" s="38" t="s">
        <v>281</v>
      </c>
      <c r="C17" s="9">
        <v>5000000</v>
      </c>
      <c r="D17" s="14" t="s">
        <v>3</v>
      </c>
      <c r="E17" s="1"/>
    </row>
    <row r="18" spans="1:5" x14ac:dyDescent="0.25">
      <c r="A18" s="1"/>
      <c r="B18" s="39" t="s">
        <v>250</v>
      </c>
      <c r="C18" s="9">
        <v>2870582</v>
      </c>
      <c r="D18" s="14" t="s">
        <v>3</v>
      </c>
      <c r="E18" s="1"/>
    </row>
    <row r="19" spans="1:5" ht="15" customHeight="1" x14ac:dyDescent="0.25">
      <c r="A19" s="1"/>
      <c r="B19" s="39" t="s">
        <v>278</v>
      </c>
      <c r="C19" s="9">
        <v>2872848</v>
      </c>
      <c r="D19" s="14" t="s">
        <v>3</v>
      </c>
      <c r="E19" s="1"/>
    </row>
    <row r="20" spans="1:5" x14ac:dyDescent="0.25">
      <c r="A20" s="1"/>
      <c r="B20" s="39" t="s">
        <v>248</v>
      </c>
      <c r="C20" s="9">
        <v>-2266</v>
      </c>
      <c r="D20" s="14" t="s">
        <v>3</v>
      </c>
      <c r="E20" s="1"/>
    </row>
    <row r="21" spans="1:5" x14ac:dyDescent="0.25">
      <c r="A21" s="1"/>
      <c r="B21" s="39" t="s">
        <v>282</v>
      </c>
      <c r="C21" s="9">
        <v>-2129418</v>
      </c>
      <c r="D21" s="14" t="s">
        <v>3</v>
      </c>
      <c r="E21" s="1"/>
    </row>
    <row r="22" spans="1:5" x14ac:dyDescent="0.25">
      <c r="A22" s="1"/>
      <c r="B22" s="39" t="s">
        <v>259</v>
      </c>
      <c r="C22" s="9">
        <f>-(C17-C20)</f>
        <v>-5002266</v>
      </c>
      <c r="D22" s="14" t="s">
        <v>3</v>
      </c>
      <c r="E22" s="1"/>
    </row>
    <row r="23" spans="1:5" ht="15" customHeight="1" x14ac:dyDescent="0.25">
      <c r="A23" s="1"/>
      <c r="B23" s="50" t="s">
        <v>251</v>
      </c>
      <c r="C23" s="10">
        <f>C22-C21</f>
        <v>-2872848</v>
      </c>
      <c r="D23" s="11" t="s">
        <v>3</v>
      </c>
      <c r="E23" s="1"/>
    </row>
    <row r="24" spans="1:5" x14ac:dyDescent="0.25">
      <c r="A24" s="1"/>
      <c r="B24" s="44" t="s">
        <v>283</v>
      </c>
      <c r="C24" s="45"/>
      <c r="D24" s="20"/>
      <c r="E24" s="1"/>
    </row>
    <row r="25" spans="1:5" x14ac:dyDescent="0.25">
      <c r="A25" s="1"/>
      <c r="B25" s="38" t="s">
        <v>284</v>
      </c>
      <c r="C25" s="9">
        <v>4450000</v>
      </c>
      <c r="D25" s="14" t="s">
        <v>3</v>
      </c>
      <c r="E25" s="1"/>
    </row>
    <row r="26" spans="1:5" x14ac:dyDescent="0.25">
      <c r="A26" s="1"/>
      <c r="B26" s="39" t="s">
        <v>252</v>
      </c>
      <c r="C26" s="9">
        <v>2910119</v>
      </c>
      <c r="D26" s="14" t="s">
        <v>3</v>
      </c>
      <c r="E26" s="1"/>
    </row>
    <row r="27" spans="1:5" x14ac:dyDescent="0.25">
      <c r="A27" s="1"/>
      <c r="B27" s="39" t="s">
        <v>278</v>
      </c>
      <c r="C27" s="9">
        <v>2910119</v>
      </c>
      <c r="D27" s="14" t="s">
        <v>3</v>
      </c>
      <c r="E27" s="1"/>
    </row>
    <row r="28" spans="1:5" ht="15" customHeight="1" x14ac:dyDescent="0.25">
      <c r="A28" s="1"/>
      <c r="B28" s="39" t="s">
        <v>248</v>
      </c>
      <c r="C28" s="9">
        <v>0</v>
      </c>
      <c r="D28" s="14" t="s">
        <v>3</v>
      </c>
      <c r="E28" s="1"/>
    </row>
    <row r="29" spans="1:5" x14ac:dyDescent="0.25">
      <c r="A29" s="1"/>
      <c r="B29" s="39" t="s">
        <v>285</v>
      </c>
      <c r="C29" s="9">
        <v>-1539881</v>
      </c>
      <c r="D29" s="14" t="s">
        <v>3</v>
      </c>
      <c r="E29" s="1"/>
    </row>
    <row r="30" spans="1:5" x14ac:dyDescent="0.25">
      <c r="A30" s="1"/>
      <c r="B30" s="39" t="s">
        <v>260</v>
      </c>
      <c r="C30" s="9">
        <f>-(C25-C28)</f>
        <v>-4450000</v>
      </c>
      <c r="D30" s="14" t="s">
        <v>3</v>
      </c>
      <c r="E30" s="1"/>
    </row>
    <row r="31" spans="1:5" x14ac:dyDescent="0.25">
      <c r="A31" s="1"/>
      <c r="B31" s="50" t="s">
        <v>253</v>
      </c>
      <c r="C31" s="10">
        <f>C30-C29</f>
        <v>-2910119</v>
      </c>
      <c r="D31" s="11" t="s">
        <v>3</v>
      </c>
      <c r="E31" s="1"/>
    </row>
    <row r="32" spans="1:5" x14ac:dyDescent="0.25">
      <c r="A32" s="1"/>
      <c r="B32" s="44" t="s">
        <v>286</v>
      </c>
      <c r="C32" s="45"/>
      <c r="D32" s="20"/>
      <c r="E32" s="1"/>
    </row>
    <row r="33" spans="1:5" x14ac:dyDescent="0.25">
      <c r="A33" s="1"/>
      <c r="B33" s="38" t="s">
        <v>287</v>
      </c>
      <c r="C33" s="9">
        <v>3300000</v>
      </c>
      <c r="D33" s="14" t="s">
        <v>3</v>
      </c>
      <c r="E33" s="1"/>
    </row>
    <row r="34" spans="1:5" x14ac:dyDescent="0.25">
      <c r="A34" s="1"/>
      <c r="B34" s="39" t="s">
        <v>254</v>
      </c>
      <c r="C34" s="9">
        <v>2968087</v>
      </c>
      <c r="D34" s="14" t="s">
        <v>3</v>
      </c>
      <c r="E34" s="1"/>
    </row>
    <row r="35" spans="1:5" x14ac:dyDescent="0.25">
      <c r="A35" s="1"/>
      <c r="B35" s="39" t="s">
        <v>278</v>
      </c>
      <c r="C35" s="9">
        <v>2967922</v>
      </c>
      <c r="D35" s="14" t="s">
        <v>3</v>
      </c>
      <c r="E35" s="1"/>
    </row>
    <row r="36" spans="1:5" x14ac:dyDescent="0.25">
      <c r="A36" s="1"/>
      <c r="B36" s="39" t="s">
        <v>248</v>
      </c>
      <c r="C36" s="9">
        <v>164</v>
      </c>
      <c r="D36" s="14" t="s">
        <v>3</v>
      </c>
      <c r="E36" s="1"/>
    </row>
    <row r="37" spans="1:5" x14ac:dyDescent="0.25">
      <c r="A37" s="1"/>
      <c r="B37" s="39" t="s">
        <v>288</v>
      </c>
      <c r="C37" s="9">
        <v>-331913</v>
      </c>
      <c r="D37" s="14" t="s">
        <v>3</v>
      </c>
      <c r="E37" s="1"/>
    </row>
    <row r="38" spans="1:5" x14ac:dyDescent="0.25">
      <c r="A38" s="1"/>
      <c r="B38" s="39" t="s">
        <v>261</v>
      </c>
      <c r="C38" s="9">
        <f>-(C33-C36)</f>
        <v>-3299836</v>
      </c>
      <c r="D38" s="14" t="s">
        <v>3</v>
      </c>
      <c r="E38" s="1"/>
    </row>
    <row r="39" spans="1:5" x14ac:dyDescent="0.25">
      <c r="A39" s="1"/>
      <c r="B39" s="50" t="s">
        <v>255</v>
      </c>
      <c r="C39" s="10">
        <f>C38-C37</f>
        <v>-2967923</v>
      </c>
      <c r="D39" s="11" t="s">
        <v>3</v>
      </c>
      <c r="E39" s="1"/>
    </row>
    <row r="40" spans="1:5" x14ac:dyDescent="0.25">
      <c r="A40" s="1"/>
      <c r="B40" s="44" t="s">
        <v>289</v>
      </c>
      <c r="C40" s="45"/>
      <c r="D40" s="20"/>
      <c r="E40" s="1"/>
    </row>
    <row r="41" spans="1:5" x14ac:dyDescent="0.25">
      <c r="A41" s="1"/>
      <c r="B41" s="38" t="s">
        <v>290</v>
      </c>
      <c r="C41" s="9">
        <v>3000000</v>
      </c>
      <c r="D41" s="14" t="s">
        <v>3</v>
      </c>
      <c r="E41" s="1"/>
    </row>
    <row r="42" spans="1:5" x14ac:dyDescent="0.25">
      <c r="A42" s="1"/>
      <c r="B42" s="39" t="s">
        <v>256</v>
      </c>
      <c r="C42" s="9">
        <v>2754517</v>
      </c>
      <c r="D42" s="14" t="s">
        <v>3</v>
      </c>
      <c r="E42" s="1"/>
    </row>
    <row r="43" spans="1:5" x14ac:dyDescent="0.25">
      <c r="A43" s="1"/>
      <c r="B43" s="39" t="s">
        <v>247</v>
      </c>
      <c r="C43" s="9">
        <v>2754509</v>
      </c>
      <c r="D43" s="14" t="s">
        <v>3</v>
      </c>
      <c r="E43" s="1"/>
    </row>
    <row r="44" spans="1:5" x14ac:dyDescent="0.25">
      <c r="A44" s="1"/>
      <c r="B44" s="39" t="s">
        <v>248</v>
      </c>
      <c r="C44" s="9">
        <v>8</v>
      </c>
      <c r="D44" s="14" t="s">
        <v>3</v>
      </c>
      <c r="E44" s="1"/>
    </row>
    <row r="45" spans="1:5" x14ac:dyDescent="0.25">
      <c r="A45" s="1"/>
      <c r="B45" s="39" t="s">
        <v>291</v>
      </c>
      <c r="C45" s="9">
        <v>-245483</v>
      </c>
      <c r="D45" s="14" t="s">
        <v>3</v>
      </c>
      <c r="E45" s="1"/>
    </row>
    <row r="46" spans="1:5" x14ac:dyDescent="0.25">
      <c r="A46" s="1"/>
      <c r="B46" s="39" t="s">
        <v>262</v>
      </c>
      <c r="C46" s="9">
        <f>-(C41-C44)</f>
        <v>-2999992</v>
      </c>
      <c r="D46" s="14" t="s">
        <v>3</v>
      </c>
      <c r="E46" s="1"/>
    </row>
    <row r="47" spans="1:5" ht="15" customHeight="1" x14ac:dyDescent="0.25">
      <c r="A47" s="1"/>
      <c r="B47" s="50" t="s">
        <v>257</v>
      </c>
      <c r="C47" s="10">
        <f>C46-C45</f>
        <v>-2754509</v>
      </c>
      <c r="D47" s="11" t="s">
        <v>3</v>
      </c>
      <c r="E47" s="1"/>
    </row>
    <row r="48" spans="1:5" x14ac:dyDescent="0.25">
      <c r="A48" s="1"/>
      <c r="B48" s="44"/>
      <c r="C48" s="12"/>
      <c r="D48" s="13"/>
      <c r="E48" s="1"/>
    </row>
    <row r="49" spans="1:5" ht="14.25" customHeight="1" x14ac:dyDescent="0.25">
      <c r="A49" s="1"/>
      <c r="B49" s="119" t="s">
        <v>292</v>
      </c>
      <c r="C49" s="119"/>
      <c r="D49" s="119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36"/>
      <c r="B51" s="36"/>
      <c r="C51" s="36"/>
      <c r="D51" s="36"/>
      <c r="E51" s="36"/>
    </row>
    <row r="52" spans="1:5" x14ac:dyDescent="0.25">
      <c r="A52" s="36"/>
      <c r="B52" s="36"/>
      <c r="C52" s="36"/>
      <c r="D52" s="36"/>
      <c r="E52" s="36"/>
    </row>
    <row r="53" spans="1:5" x14ac:dyDescent="0.25">
      <c r="A53" s="36"/>
      <c r="B53" s="36"/>
      <c r="C53" s="36"/>
      <c r="D53" s="36"/>
      <c r="E53" s="36"/>
    </row>
    <row r="54" spans="1:5" x14ac:dyDescent="0.25">
      <c r="A54" s="36"/>
      <c r="B54" s="36"/>
      <c r="C54" s="36"/>
      <c r="D54" s="36"/>
      <c r="E54" s="36"/>
    </row>
    <row r="55" spans="1:5" x14ac:dyDescent="0.25">
      <c r="A55" s="36"/>
      <c r="B55" s="36"/>
      <c r="C55" s="36"/>
      <c r="D55" s="36"/>
      <c r="E55" s="36"/>
    </row>
    <row r="56" spans="1:5" x14ac:dyDescent="0.25">
      <c r="A56" s="36"/>
      <c r="B56" s="36"/>
      <c r="C56" s="36"/>
      <c r="D56" s="36"/>
      <c r="E56" s="36"/>
    </row>
    <row r="57" spans="1:5" x14ac:dyDescent="0.25">
      <c r="A57" s="36"/>
      <c r="B57" s="36"/>
      <c r="C57" s="36"/>
      <c r="D57" s="36"/>
      <c r="E57" s="36"/>
    </row>
    <row r="58" spans="1:5" x14ac:dyDescent="0.25">
      <c r="A58" s="36"/>
      <c r="B58" s="36"/>
      <c r="C58" s="36"/>
      <c r="D58" s="36"/>
      <c r="E58" s="36"/>
    </row>
    <row r="59" spans="1:5" x14ac:dyDescent="0.25">
      <c r="A59" s="36"/>
      <c r="B59" s="36"/>
      <c r="C59" s="36"/>
      <c r="D59" s="36"/>
      <c r="E59" s="36"/>
    </row>
    <row r="60" spans="1:5" x14ac:dyDescent="0.25">
      <c r="A60" s="36"/>
      <c r="B60" s="36"/>
      <c r="C60" s="36"/>
      <c r="D60" s="36"/>
      <c r="E60" s="36"/>
    </row>
    <row r="61" spans="1:5" x14ac:dyDescent="0.25">
      <c r="A61" s="36"/>
      <c r="B61" s="36"/>
      <c r="C61" s="36"/>
      <c r="D61" s="36"/>
      <c r="E61" s="36"/>
    </row>
    <row r="62" spans="1:5" x14ac:dyDescent="0.25">
      <c r="A62" s="36"/>
      <c r="B62" s="36"/>
      <c r="C62" s="36"/>
      <c r="D62" s="36"/>
      <c r="E62" s="36"/>
    </row>
    <row r="63" spans="1:5" x14ac:dyDescent="0.25">
      <c r="A63" s="36"/>
      <c r="B63" s="36"/>
      <c r="C63" s="36"/>
      <c r="D63" s="36"/>
      <c r="E63" s="36"/>
    </row>
    <row r="64" spans="1:5" x14ac:dyDescent="0.25">
      <c r="A64" s="36"/>
      <c r="B64" s="36"/>
      <c r="C64" s="36"/>
      <c r="D64" s="36"/>
      <c r="E64" s="36"/>
    </row>
    <row r="65" spans="1:5" x14ac:dyDescent="0.25">
      <c r="A65" s="36"/>
      <c r="B65" s="36"/>
      <c r="C65" s="36"/>
      <c r="D65" s="36"/>
      <c r="E65" s="36"/>
    </row>
    <row r="66" spans="1:5" x14ac:dyDescent="0.25">
      <c r="A66" s="36"/>
      <c r="B66" s="36"/>
      <c r="C66" s="36"/>
      <c r="D66" s="36"/>
      <c r="E66" s="36"/>
    </row>
    <row r="67" spans="1:5" x14ac:dyDescent="0.25">
      <c r="A67" s="36"/>
      <c r="B67" s="36"/>
      <c r="C67" s="36"/>
      <c r="D67" s="36"/>
      <c r="E67" s="36"/>
    </row>
    <row r="68" spans="1:5" x14ac:dyDescent="0.25">
      <c r="A68" s="36"/>
      <c r="B68" s="36"/>
      <c r="C68" s="36"/>
      <c r="D68" s="36"/>
      <c r="E68" s="36"/>
    </row>
    <row r="69" spans="1:5" x14ac:dyDescent="0.25">
      <c r="A69" s="36"/>
      <c r="B69" s="36"/>
      <c r="C69" s="36"/>
      <c r="D69" s="36"/>
      <c r="E69" s="36"/>
    </row>
    <row r="70" spans="1:5" x14ac:dyDescent="0.25">
      <c r="A70" s="36"/>
      <c r="B70" s="36"/>
      <c r="C70" s="36"/>
      <c r="D70" s="36"/>
      <c r="E70" s="36"/>
    </row>
    <row r="71" spans="1:5" x14ac:dyDescent="0.25">
      <c r="A71" s="36"/>
      <c r="B71" s="36"/>
      <c r="C71" s="36"/>
      <c r="D71" s="36"/>
      <c r="E71" s="36"/>
    </row>
    <row r="72" spans="1:5" x14ac:dyDescent="0.25">
      <c r="A72" s="36"/>
      <c r="B72" s="36"/>
      <c r="C72" s="36"/>
      <c r="D72" s="36"/>
      <c r="E72" s="36"/>
    </row>
    <row r="73" spans="1:5" x14ac:dyDescent="0.25">
      <c r="A73" s="36"/>
      <c r="B73" s="36"/>
      <c r="C73" s="36"/>
      <c r="D73" s="36"/>
      <c r="E73" s="36"/>
    </row>
    <row r="74" spans="1:5" x14ac:dyDescent="0.25">
      <c r="A74" s="36"/>
      <c r="B74" s="36"/>
      <c r="C74" s="36"/>
      <c r="D74" s="36"/>
      <c r="E74" s="36"/>
    </row>
    <row r="75" spans="1:5" x14ac:dyDescent="0.25">
      <c r="A75" s="36"/>
      <c r="B75" s="36"/>
      <c r="C75" s="36"/>
      <c r="D75" s="36"/>
      <c r="E75" s="36"/>
    </row>
    <row r="76" spans="1:5" x14ac:dyDescent="0.25">
      <c r="A76" s="36"/>
      <c r="B76" s="36"/>
      <c r="C76" s="36"/>
      <c r="D76" s="36"/>
      <c r="E76" s="36"/>
    </row>
    <row r="77" spans="1:5" x14ac:dyDescent="0.25">
      <c r="A77" s="36"/>
      <c r="B77" s="36"/>
      <c r="C77" s="36"/>
      <c r="D77" s="36"/>
      <c r="E77" s="36"/>
    </row>
    <row r="78" spans="1:5" x14ac:dyDescent="0.25">
      <c r="A78" s="36"/>
      <c r="B78" s="36"/>
      <c r="C78" s="36"/>
      <c r="D78" s="36"/>
      <c r="E78" s="36"/>
    </row>
    <row r="79" spans="1:5" x14ac:dyDescent="0.25">
      <c r="A79" s="36"/>
      <c r="B79" s="36"/>
      <c r="C79" s="36"/>
      <c r="D79" s="36"/>
      <c r="E79" s="36"/>
    </row>
    <row r="80" spans="1:5" x14ac:dyDescent="0.25">
      <c r="A80" s="36"/>
      <c r="B80" s="36"/>
      <c r="C80" s="36"/>
      <c r="D80" s="36"/>
      <c r="E80" s="36"/>
    </row>
    <row r="81" spans="1:5" x14ac:dyDescent="0.25">
      <c r="A81" s="36"/>
      <c r="B81" s="36"/>
      <c r="C81" s="36"/>
      <c r="D81" s="36"/>
      <c r="E81" s="36"/>
    </row>
    <row r="82" spans="1:5" x14ac:dyDescent="0.25">
      <c r="A82" s="36"/>
      <c r="B82" s="36"/>
      <c r="C82" s="36"/>
      <c r="D82" s="36"/>
      <c r="E82" s="36"/>
    </row>
    <row r="83" spans="1:5" x14ac:dyDescent="0.25">
      <c r="A83" s="36"/>
      <c r="B83" s="36"/>
      <c r="C83" s="36"/>
      <c r="D83" s="36"/>
      <c r="E83" s="36"/>
    </row>
    <row r="84" spans="1:5" x14ac:dyDescent="0.25">
      <c r="A84" s="36"/>
      <c r="B84" s="36"/>
      <c r="C84" s="36"/>
      <c r="D84" s="36"/>
      <c r="E84" s="36"/>
    </row>
    <row r="85" spans="1:5" x14ac:dyDescent="0.25">
      <c r="A85" s="36"/>
      <c r="B85" s="36"/>
      <c r="C85" s="36"/>
      <c r="D85" s="36"/>
      <c r="E85" s="36"/>
    </row>
    <row r="86" spans="1:5" x14ac:dyDescent="0.25">
      <c r="A86" s="36"/>
      <c r="B86" s="36"/>
      <c r="C86" s="36"/>
      <c r="D86" s="36"/>
      <c r="E86" s="36"/>
    </row>
    <row r="87" spans="1:5" x14ac:dyDescent="0.25">
      <c r="A87" s="36"/>
      <c r="B87" s="36"/>
      <c r="C87" s="36"/>
      <c r="D87" s="36"/>
      <c r="E87" s="36"/>
    </row>
    <row r="88" spans="1:5" x14ac:dyDescent="0.25">
      <c r="A88" s="36"/>
      <c r="B88" s="36"/>
      <c r="C88" s="36"/>
      <c r="D88" s="36"/>
      <c r="E88" s="36"/>
    </row>
    <row r="89" spans="1:5" x14ac:dyDescent="0.25">
      <c r="A89" s="36"/>
      <c r="B89" s="36"/>
      <c r="C89" s="36"/>
      <c r="D89" s="36"/>
      <c r="E89" s="36"/>
    </row>
    <row r="90" spans="1:5" x14ac:dyDescent="0.25">
      <c r="A90" s="36"/>
      <c r="B90" s="36"/>
      <c r="C90" s="36"/>
      <c r="D90" s="36"/>
      <c r="E90" s="36"/>
    </row>
    <row r="91" spans="1:5" x14ac:dyDescent="0.25">
      <c r="A91" s="36"/>
      <c r="B91" s="36"/>
      <c r="C91" s="36"/>
      <c r="D91" s="36"/>
      <c r="E91" s="36"/>
    </row>
  </sheetData>
  <sheetProtection algorithmName="SHA-512" hashValue="Z1kRAyeEHrZV1i72/l//SzZy1xRvroaa1xz+NugfmgKRKeLEu50Smw8uUmT6pjvJlSuGuzAFf6eXow6F4PhzTQ==" saltValue="/0vIgRWBZo6iBG7GcodWcQ==" spinCount="100000" sheet="1" objects="1" scenarios="1"/>
  <mergeCells count="2">
    <mergeCell ref="B3:D5"/>
    <mergeCell ref="B49:D4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59.5703125" style="2" customWidth="1"/>
    <col min="3" max="3" width="12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97" t="s">
        <v>337</v>
      </c>
      <c r="C3" s="97"/>
      <c r="D3" s="97"/>
      <c r="E3" s="1"/>
    </row>
    <row r="4" spans="1:5" ht="15" customHeight="1" x14ac:dyDescent="0.25">
      <c r="A4" s="1"/>
      <c r="B4" s="97"/>
      <c r="C4" s="97"/>
      <c r="D4" s="97"/>
      <c r="E4" s="1"/>
    </row>
    <row r="5" spans="1:5" x14ac:dyDescent="0.25">
      <c r="A5" s="1"/>
      <c r="B5" s="97"/>
      <c r="C5" s="97"/>
      <c r="D5" s="97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4" t="s">
        <v>293</v>
      </c>
      <c r="C8" s="45"/>
      <c r="D8" s="20"/>
      <c r="E8" s="1"/>
    </row>
    <row r="9" spans="1:5" x14ac:dyDescent="0.25">
      <c r="A9" s="1"/>
      <c r="B9" s="39" t="s">
        <v>294</v>
      </c>
      <c r="C9" s="9">
        <v>37220904</v>
      </c>
      <c r="D9" s="14" t="s">
        <v>3</v>
      </c>
      <c r="E9" s="1"/>
    </row>
    <row r="10" spans="1:5" x14ac:dyDescent="0.25">
      <c r="A10" s="1"/>
      <c r="B10" s="39" t="s">
        <v>295</v>
      </c>
      <c r="C10" s="9">
        <f>C9+'Fane 12.1. Uhjemlet rentepost'!C15</f>
        <v>33615669</v>
      </c>
      <c r="D10" s="14" t="s">
        <v>3</v>
      </c>
      <c r="E10" s="1"/>
    </row>
    <row r="11" spans="1:5" x14ac:dyDescent="0.25">
      <c r="A11" s="1"/>
      <c r="B11" s="39" t="s">
        <v>296</v>
      </c>
      <c r="C11" s="9">
        <v>37265082</v>
      </c>
      <c r="D11" s="14" t="s">
        <v>3</v>
      </c>
      <c r="E11" s="1"/>
    </row>
    <row r="12" spans="1:5" x14ac:dyDescent="0.25">
      <c r="A12" s="1"/>
      <c r="B12" s="39" t="s">
        <v>297</v>
      </c>
      <c r="C12" s="9">
        <f>C9-C11</f>
        <v>-44178</v>
      </c>
      <c r="D12" s="14" t="s">
        <v>3</v>
      </c>
      <c r="E12" s="1"/>
    </row>
    <row r="13" spans="1:5" x14ac:dyDescent="0.25">
      <c r="A13" s="1"/>
      <c r="B13" s="39" t="s">
        <v>298</v>
      </c>
      <c r="C13" s="9">
        <f>C10-C11</f>
        <v>-3649413</v>
      </c>
      <c r="D13" s="14" t="s">
        <v>3</v>
      </c>
      <c r="E13" s="1"/>
    </row>
    <row r="14" spans="1:5" x14ac:dyDescent="0.25">
      <c r="A14" s="1"/>
      <c r="B14" s="50" t="s">
        <v>299</v>
      </c>
      <c r="C14" s="10">
        <f>C13-C12</f>
        <v>-3605235</v>
      </c>
      <c r="D14" s="11" t="s">
        <v>3</v>
      </c>
      <c r="E14" s="1"/>
    </row>
    <row r="15" spans="1:5" x14ac:dyDescent="0.25">
      <c r="A15" s="1"/>
      <c r="B15" s="50" t="s">
        <v>300</v>
      </c>
      <c r="C15" s="10">
        <v>0</v>
      </c>
      <c r="D15" s="11" t="s">
        <v>3</v>
      </c>
      <c r="E15" s="1"/>
    </row>
    <row r="16" spans="1:5" x14ac:dyDescent="0.25">
      <c r="A16" s="1"/>
      <c r="B16" s="44" t="s">
        <v>301</v>
      </c>
      <c r="C16" s="45"/>
      <c r="D16" s="20"/>
      <c r="E16" s="1"/>
    </row>
    <row r="17" spans="1:5" ht="15" customHeight="1" x14ac:dyDescent="0.25">
      <c r="A17" s="1"/>
      <c r="B17" s="39" t="s">
        <v>302</v>
      </c>
      <c r="C17" s="9">
        <v>37497415</v>
      </c>
      <c r="D17" s="14" t="s">
        <v>3</v>
      </c>
      <c r="E17" s="1"/>
    </row>
    <row r="18" spans="1:5" x14ac:dyDescent="0.25">
      <c r="A18" s="1"/>
      <c r="B18" s="39" t="s">
        <v>303</v>
      </c>
      <c r="C18" s="9">
        <f>C17+'Fane 12.1. Uhjemlet rentepost'!C23</f>
        <v>34624567</v>
      </c>
      <c r="D18" s="14" t="s">
        <v>3</v>
      </c>
      <c r="E18" s="1"/>
    </row>
    <row r="19" spans="1:5" ht="15" customHeight="1" x14ac:dyDescent="0.25">
      <c r="A19" s="1"/>
      <c r="B19" s="39" t="s">
        <v>304</v>
      </c>
      <c r="C19" s="9">
        <v>-202047</v>
      </c>
      <c r="D19" s="14" t="s">
        <v>3</v>
      </c>
      <c r="E19" s="1"/>
    </row>
    <row r="20" spans="1:5" x14ac:dyDescent="0.25">
      <c r="A20" s="1"/>
      <c r="B20" s="39" t="s">
        <v>305</v>
      </c>
      <c r="C20" s="9">
        <v>-21238</v>
      </c>
      <c r="D20" s="14" t="s">
        <v>3</v>
      </c>
      <c r="E20" s="1"/>
    </row>
    <row r="21" spans="1:5" x14ac:dyDescent="0.25">
      <c r="A21" s="1"/>
      <c r="B21" s="39" t="s">
        <v>306</v>
      </c>
      <c r="C21" s="9">
        <v>33431912</v>
      </c>
      <c r="D21" s="14" t="s">
        <v>3</v>
      </c>
      <c r="E21" s="1"/>
    </row>
    <row r="22" spans="1:5" x14ac:dyDescent="0.25">
      <c r="A22" s="1"/>
      <c r="B22" s="39" t="s">
        <v>307</v>
      </c>
      <c r="C22" s="9">
        <f>C17+C19+C20-C21</f>
        <v>3842218</v>
      </c>
      <c r="D22" s="14" t="s">
        <v>3</v>
      </c>
      <c r="E22" s="1"/>
    </row>
    <row r="23" spans="1:5" ht="15" customHeight="1" x14ac:dyDescent="0.25">
      <c r="A23" s="1"/>
      <c r="B23" s="39" t="s">
        <v>308</v>
      </c>
      <c r="C23" s="9">
        <f>C18+C19+C20-C21</f>
        <v>969370</v>
      </c>
      <c r="D23" s="14" t="s">
        <v>3</v>
      </c>
      <c r="E23" s="1"/>
    </row>
    <row r="24" spans="1:5" x14ac:dyDescent="0.25">
      <c r="A24" s="1"/>
      <c r="B24" s="50" t="s">
        <v>266</v>
      </c>
      <c r="C24" s="10">
        <v>0</v>
      </c>
      <c r="D24" s="11" t="s">
        <v>3</v>
      </c>
      <c r="E24" s="1"/>
    </row>
    <row r="25" spans="1:5" x14ac:dyDescent="0.25">
      <c r="A25" s="1"/>
      <c r="B25" s="50" t="s">
        <v>267</v>
      </c>
      <c r="C25" s="10">
        <f>C22-C23</f>
        <v>2872848</v>
      </c>
      <c r="D25" s="11" t="s">
        <v>3</v>
      </c>
      <c r="E25" s="1"/>
    </row>
    <row r="26" spans="1:5" x14ac:dyDescent="0.25">
      <c r="A26" s="1"/>
      <c r="B26" s="44" t="s">
        <v>309</v>
      </c>
      <c r="C26" s="45"/>
      <c r="D26" s="20"/>
      <c r="E26" s="1"/>
    </row>
    <row r="27" spans="1:5" x14ac:dyDescent="0.25">
      <c r="A27" s="1"/>
      <c r="B27" s="39" t="s">
        <v>310</v>
      </c>
      <c r="C27" s="9">
        <v>36270167</v>
      </c>
      <c r="D27" s="14" t="s">
        <v>3</v>
      </c>
      <c r="E27" s="1"/>
    </row>
    <row r="28" spans="1:5" ht="15" customHeight="1" x14ac:dyDescent="0.25">
      <c r="A28" s="1"/>
      <c r="B28" s="39" t="s">
        <v>311</v>
      </c>
      <c r="C28" s="9">
        <f>C27+'Fane 12.1. Uhjemlet rentepost'!C31</f>
        <v>33360048</v>
      </c>
      <c r="D28" s="14" t="s">
        <v>3</v>
      </c>
      <c r="E28" s="1"/>
    </row>
    <row r="29" spans="1:5" x14ac:dyDescent="0.25">
      <c r="A29" s="1"/>
      <c r="B29" s="39" t="s">
        <v>312</v>
      </c>
      <c r="C29" s="9">
        <v>35178076</v>
      </c>
      <c r="D29" s="14" t="s">
        <v>3</v>
      </c>
      <c r="E29" s="1"/>
    </row>
    <row r="30" spans="1:5" x14ac:dyDescent="0.25">
      <c r="A30" s="1"/>
      <c r="B30" s="39" t="s">
        <v>313</v>
      </c>
      <c r="C30" s="9">
        <f>C27-C29</f>
        <v>1092091</v>
      </c>
      <c r="D30" s="14" t="s">
        <v>3</v>
      </c>
      <c r="E30" s="1"/>
    </row>
    <row r="31" spans="1:5" x14ac:dyDescent="0.25">
      <c r="A31" s="1"/>
      <c r="B31" s="39" t="s">
        <v>314</v>
      </c>
      <c r="C31" s="9">
        <f>C28-C29</f>
        <v>-1818028</v>
      </c>
      <c r="D31" s="14" t="s">
        <v>3</v>
      </c>
      <c r="E31" s="1"/>
    </row>
    <row r="32" spans="1:5" x14ac:dyDescent="0.25">
      <c r="A32" s="1"/>
      <c r="B32" s="50" t="s">
        <v>268</v>
      </c>
      <c r="C32" s="10">
        <f>C31</f>
        <v>-1818028</v>
      </c>
      <c r="D32" s="11" t="s">
        <v>3</v>
      </c>
      <c r="E32" s="1"/>
    </row>
    <row r="33" spans="1:5" x14ac:dyDescent="0.25">
      <c r="A33" s="1"/>
      <c r="B33" s="50" t="s">
        <v>269</v>
      </c>
      <c r="C33" s="10">
        <f>C30</f>
        <v>1092091</v>
      </c>
      <c r="D33" s="11" t="s">
        <v>3</v>
      </c>
      <c r="E33" s="1"/>
    </row>
    <row r="34" spans="1:5" x14ac:dyDescent="0.25">
      <c r="A34" s="1"/>
      <c r="B34" s="44" t="s">
        <v>315</v>
      </c>
      <c r="C34" s="45"/>
      <c r="D34" s="20"/>
      <c r="E34" s="1"/>
    </row>
    <row r="35" spans="1:5" x14ac:dyDescent="0.25">
      <c r="A35" s="1"/>
      <c r="B35" s="39" t="s">
        <v>316</v>
      </c>
      <c r="C35" s="9">
        <v>36417086</v>
      </c>
      <c r="D35" s="14" t="s">
        <v>3</v>
      </c>
      <c r="E35" s="1"/>
    </row>
    <row r="36" spans="1:5" x14ac:dyDescent="0.25">
      <c r="A36" s="1"/>
      <c r="B36" s="39" t="s">
        <v>317</v>
      </c>
      <c r="C36" s="9">
        <f>C35+'Fane 12.1. Uhjemlet rentepost'!C39</f>
        <v>33449163</v>
      </c>
      <c r="D36" s="14" t="s">
        <v>3</v>
      </c>
      <c r="E36" s="1"/>
    </row>
    <row r="37" spans="1:5" x14ac:dyDescent="0.25">
      <c r="A37" s="1"/>
      <c r="B37" s="39" t="s">
        <v>318</v>
      </c>
      <c r="C37" s="9">
        <v>-3375647</v>
      </c>
      <c r="D37" s="14" t="s">
        <v>3</v>
      </c>
      <c r="E37" s="1"/>
    </row>
    <row r="38" spans="1:5" x14ac:dyDescent="0.25">
      <c r="A38" s="1"/>
      <c r="B38" s="39" t="s">
        <v>319</v>
      </c>
      <c r="C38" s="9">
        <v>33041439</v>
      </c>
      <c r="D38" s="14" t="s">
        <v>3</v>
      </c>
      <c r="E38" s="1"/>
    </row>
    <row r="39" spans="1:5" x14ac:dyDescent="0.25">
      <c r="A39" s="1"/>
      <c r="B39" s="39" t="s">
        <v>320</v>
      </c>
      <c r="C39" s="9">
        <f>C35+C37-C38</f>
        <v>0</v>
      </c>
      <c r="D39" s="14" t="s">
        <v>3</v>
      </c>
      <c r="E39" s="1"/>
    </row>
    <row r="40" spans="1:5" x14ac:dyDescent="0.25">
      <c r="A40" s="1"/>
      <c r="B40" s="39" t="s">
        <v>329</v>
      </c>
      <c r="C40" s="9">
        <f>-C25</f>
        <v>-2872848</v>
      </c>
      <c r="D40" s="14" t="s">
        <v>3</v>
      </c>
      <c r="E40" s="1"/>
    </row>
    <row r="41" spans="1:5" x14ac:dyDescent="0.25">
      <c r="A41" s="1"/>
      <c r="B41" s="39" t="s">
        <v>321</v>
      </c>
      <c r="C41" s="9">
        <f>C36-C38+C40</f>
        <v>-2465124</v>
      </c>
      <c r="D41" s="14" t="s">
        <v>3</v>
      </c>
      <c r="E41" s="1"/>
    </row>
    <row r="42" spans="1:5" x14ac:dyDescent="0.25">
      <c r="A42" s="1"/>
      <c r="B42" s="50" t="s">
        <v>270</v>
      </c>
      <c r="C42" s="10">
        <f>C41</f>
        <v>-2465124</v>
      </c>
      <c r="D42" s="11" t="s">
        <v>3</v>
      </c>
      <c r="E42" s="1"/>
    </row>
    <row r="43" spans="1:5" x14ac:dyDescent="0.25">
      <c r="A43" s="1"/>
      <c r="B43" s="50" t="s">
        <v>271</v>
      </c>
      <c r="C43" s="10">
        <v>0</v>
      </c>
      <c r="D43" s="11" t="s">
        <v>3</v>
      </c>
      <c r="E43" s="1"/>
    </row>
    <row r="44" spans="1:5" x14ac:dyDescent="0.25">
      <c r="A44" s="1"/>
      <c r="B44" s="44" t="s">
        <v>322</v>
      </c>
      <c r="C44" s="45"/>
      <c r="D44" s="20"/>
      <c r="E44" s="1"/>
    </row>
    <row r="45" spans="1:5" x14ac:dyDescent="0.25">
      <c r="A45" s="1"/>
      <c r="B45" s="39" t="s">
        <v>323</v>
      </c>
      <c r="C45" s="9">
        <v>39735328</v>
      </c>
      <c r="D45" s="14" t="s">
        <v>3</v>
      </c>
      <c r="E45" s="1"/>
    </row>
    <row r="46" spans="1:5" x14ac:dyDescent="0.25">
      <c r="A46" s="1"/>
      <c r="B46" s="39" t="s">
        <v>324</v>
      </c>
      <c r="C46" s="9">
        <f>C45+'Fane 12.1. Uhjemlet rentepost'!C47</f>
        <v>36980819</v>
      </c>
      <c r="D46" s="14" t="s">
        <v>3</v>
      </c>
      <c r="E46" s="1"/>
    </row>
    <row r="47" spans="1:5" ht="15" customHeight="1" x14ac:dyDescent="0.25">
      <c r="A47" s="1"/>
      <c r="B47" s="39" t="s">
        <v>325</v>
      </c>
      <c r="C47" s="9">
        <v>35637540</v>
      </c>
      <c r="D47" s="14" t="s">
        <v>3</v>
      </c>
      <c r="E47" s="1"/>
    </row>
    <row r="48" spans="1:5" x14ac:dyDescent="0.25">
      <c r="A48" s="1"/>
      <c r="B48" s="39" t="s">
        <v>326</v>
      </c>
      <c r="C48" s="9">
        <f>C45-C47</f>
        <v>4097788</v>
      </c>
      <c r="D48" s="14" t="s">
        <v>3</v>
      </c>
      <c r="E48" s="1"/>
    </row>
    <row r="49" spans="1:5" x14ac:dyDescent="0.25">
      <c r="A49" s="1"/>
      <c r="B49" s="40" t="s">
        <v>330</v>
      </c>
      <c r="C49" s="41">
        <f>-C33</f>
        <v>-1092091</v>
      </c>
      <c r="D49" s="42" t="s">
        <v>3</v>
      </c>
      <c r="E49" s="1"/>
    </row>
    <row r="50" spans="1:5" x14ac:dyDescent="0.25">
      <c r="A50" s="1"/>
      <c r="B50" s="39" t="s">
        <v>328</v>
      </c>
      <c r="C50" s="9">
        <f>C46-C47+C49</f>
        <v>251188</v>
      </c>
      <c r="D50" s="14" t="s">
        <v>3</v>
      </c>
      <c r="E50" s="1"/>
    </row>
    <row r="51" spans="1:5" x14ac:dyDescent="0.25">
      <c r="A51" s="1"/>
      <c r="B51" s="50" t="s">
        <v>272</v>
      </c>
      <c r="C51" s="10">
        <v>0</v>
      </c>
      <c r="D51" s="11" t="s">
        <v>3</v>
      </c>
      <c r="E51" s="1"/>
    </row>
    <row r="52" spans="1:5" x14ac:dyDescent="0.25">
      <c r="A52" s="1"/>
      <c r="B52" s="50" t="s">
        <v>331</v>
      </c>
      <c r="C52" s="10">
        <f>C48-C50</f>
        <v>3846600</v>
      </c>
      <c r="D52" s="11" t="s">
        <v>3</v>
      </c>
      <c r="E52" s="1"/>
    </row>
    <row r="53" spans="1:5" x14ac:dyDescent="0.25">
      <c r="A53" s="1"/>
      <c r="B53" s="44" t="s">
        <v>263</v>
      </c>
      <c r="C53" s="12">
        <f>C14+C24+C32+C42+C51</f>
        <v>-7888387</v>
      </c>
      <c r="D53" s="13" t="s">
        <v>3</v>
      </c>
      <c r="E53" s="1"/>
    </row>
    <row r="54" spans="1:5" x14ac:dyDescent="0.25">
      <c r="A54" s="1"/>
      <c r="B54" s="120" t="s">
        <v>327</v>
      </c>
      <c r="C54" s="120"/>
      <c r="D54" s="120"/>
      <c r="E54" s="1"/>
    </row>
    <row r="55" spans="1:5" ht="28.9" customHeight="1" x14ac:dyDescent="0.25">
      <c r="A55" s="1"/>
      <c r="B55" s="121" t="s">
        <v>332</v>
      </c>
      <c r="C55" s="121"/>
      <c r="D55" s="121"/>
      <c r="E55" s="1"/>
    </row>
    <row r="56" spans="1:5" ht="57" customHeight="1" x14ac:dyDescent="0.25">
      <c r="A56" s="1"/>
      <c r="B56" s="121" t="s">
        <v>333</v>
      </c>
      <c r="C56" s="121"/>
      <c r="D56" s="12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</sheetData>
  <sheetProtection algorithmName="SHA-512" hashValue="4gxAK+fVO49uHe9cFXPFgd28jK3zRx9sqUMcK/OLXrwJ0/FTNkz7HydPKNcL5UVnU8cffk5R7R72O12ZdWRh8Q==" saltValue="ryBlJkKbELib+S44iVsoiA==" spinCount="100000" sheet="1" objects="1" scenarios="1"/>
  <mergeCells count="4">
    <mergeCell ref="B3:D5"/>
    <mergeCell ref="B54:D54"/>
    <mergeCell ref="B55:D55"/>
    <mergeCell ref="B56:D5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7" t="s">
        <v>210</v>
      </c>
      <c r="C3" s="97"/>
      <c r="D3" s="1"/>
    </row>
    <row r="4" spans="1:4" ht="25.5" customHeight="1" x14ac:dyDescent="0.25">
      <c r="A4" s="1"/>
      <c r="B4" s="97"/>
      <c r="C4" s="97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4" t="s">
        <v>14</v>
      </c>
      <c r="C8" s="20"/>
      <c r="D8" s="1"/>
    </row>
    <row r="9" spans="1:4" x14ac:dyDescent="0.25">
      <c r="A9" s="1"/>
      <c r="B9" s="54" t="s">
        <v>140</v>
      </c>
      <c r="C9" s="26">
        <v>1.2699999999999999E-2</v>
      </c>
      <c r="D9" s="1"/>
    </row>
    <row r="10" spans="1:4" x14ac:dyDescent="0.25">
      <c r="A10" s="1"/>
      <c r="B10" s="54" t="s">
        <v>22</v>
      </c>
      <c r="C10" s="26">
        <v>1.7500000000000002E-2</v>
      </c>
      <c r="D10" s="1"/>
    </row>
    <row r="11" spans="1:4" x14ac:dyDescent="0.25">
      <c r="A11" s="1"/>
      <c r="B11" s="54" t="s">
        <v>141</v>
      </c>
      <c r="C11" s="26">
        <v>1.6899999999999998E-2</v>
      </c>
      <c r="D11" s="1"/>
    </row>
    <row r="12" spans="1:4" x14ac:dyDescent="0.25">
      <c r="A12" s="1"/>
      <c r="B12" s="33" t="s">
        <v>47</v>
      </c>
      <c r="C12" s="34">
        <v>1.9699999999999999E-2</v>
      </c>
      <c r="D12" s="1"/>
    </row>
    <row r="13" spans="1:4" x14ac:dyDescent="0.25">
      <c r="A13" s="1"/>
      <c r="B13" s="33" t="s">
        <v>177</v>
      </c>
      <c r="C13" s="34">
        <v>1.2200000000000001E-2</v>
      </c>
      <c r="D13" s="1"/>
    </row>
    <row r="14" spans="1:4" x14ac:dyDescent="0.25">
      <c r="A14" s="1"/>
      <c r="B14" s="101"/>
      <c r="C14" s="103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44" t="s">
        <v>126</v>
      </c>
      <c r="C17" s="20"/>
      <c r="D17" s="1"/>
    </row>
    <row r="18" spans="1:4" x14ac:dyDescent="0.25">
      <c r="A18" s="1"/>
      <c r="B18" s="54" t="s">
        <v>142</v>
      </c>
      <c r="C18" s="23">
        <v>9.1000000000000004E-3</v>
      </c>
      <c r="D18" s="1"/>
    </row>
    <row r="19" spans="1:4" x14ac:dyDescent="0.25">
      <c r="A19" s="1"/>
      <c r="B19" s="54" t="s">
        <v>143</v>
      </c>
      <c r="C19" s="23">
        <v>1.77E-2</v>
      </c>
      <c r="D19" s="1"/>
    </row>
    <row r="20" spans="1:4" x14ac:dyDescent="0.25">
      <c r="A20" s="1"/>
      <c r="B20" s="54" t="s">
        <v>144</v>
      </c>
      <c r="C20" s="23">
        <v>8.6999999999999994E-3</v>
      </c>
      <c r="D20" s="1"/>
    </row>
    <row r="21" spans="1:4" x14ac:dyDescent="0.25">
      <c r="A21" s="1"/>
      <c r="B21" s="54" t="s">
        <v>145</v>
      </c>
      <c r="C21" s="35">
        <v>2.8400000000000002E-2</v>
      </c>
      <c r="D21" s="1"/>
    </row>
    <row r="22" spans="1:4" x14ac:dyDescent="0.25">
      <c r="A22" s="1"/>
      <c r="B22" s="54" t="s">
        <v>185</v>
      </c>
      <c r="C22" s="35">
        <v>2.75E-2</v>
      </c>
      <c r="D22" s="1"/>
    </row>
    <row r="23" spans="1:4" x14ac:dyDescent="0.25">
      <c r="A23" s="1"/>
      <c r="B23" s="44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44" t="s">
        <v>127</v>
      </c>
      <c r="C26" s="20"/>
      <c r="D26" s="1"/>
    </row>
    <row r="27" spans="1:4" x14ac:dyDescent="0.25">
      <c r="A27" s="1"/>
      <c r="B27" s="54" t="s">
        <v>146</v>
      </c>
      <c r="C27" s="26">
        <v>0.02</v>
      </c>
      <c r="D27" s="1"/>
    </row>
    <row r="28" spans="1:4" x14ac:dyDescent="0.25">
      <c r="A28" s="1"/>
      <c r="B28" s="44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E/mR4jKRI84d9NXke6/TXwTW2EVwz12WdRk+YdUvN8kzOtzb47RhFLbjWOXIdg7ikXnwU0hu5OimHsGe0TOr9A==" saltValue="gczYNrPqFpMs0ayv+hYadg==" spinCount="100000" sheet="1" objects="1" scenarios="1"/>
  <mergeCells count="2">
    <mergeCell ref="B3:C4"/>
    <mergeCell ref="B14:C1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160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4" t="s">
        <v>13</v>
      </c>
      <c r="C8" s="45"/>
      <c r="D8" s="20"/>
      <c r="E8" s="1"/>
    </row>
    <row r="9" spans="1:5" x14ac:dyDescent="0.25">
      <c r="A9" s="1"/>
      <c r="B9" s="48" t="s">
        <v>25</v>
      </c>
      <c r="C9" s="7">
        <f>'Fane 3. Omkostninger i ØR2020'!E20</f>
        <v>23646208.089292765</v>
      </c>
      <c r="D9" s="8" t="s">
        <v>3</v>
      </c>
      <c r="E9" s="1"/>
    </row>
    <row r="10" spans="1:5" ht="17.100000000000001" customHeight="1" x14ac:dyDescent="0.25">
      <c r="A10" s="1"/>
      <c r="B10" s="39" t="s">
        <v>45</v>
      </c>
      <c r="C10" s="7">
        <f>'Fane 9.1. Varige tillæg'!C14</f>
        <v>136500.231</v>
      </c>
      <c r="D10" s="8" t="s">
        <v>3</v>
      </c>
      <c r="E10" s="1"/>
    </row>
    <row r="11" spans="1:5" ht="17.100000000000001" customHeight="1" x14ac:dyDescent="0.25">
      <c r="A11" s="1"/>
      <c r="B11" s="39" t="s">
        <v>46</v>
      </c>
      <c r="C11" s="9">
        <f>'Fane 9.1. Varige tillæg'!E14</f>
        <v>1529702.6354399999</v>
      </c>
      <c r="D11" s="8" t="s">
        <v>3</v>
      </c>
      <c r="E11" s="1"/>
    </row>
    <row r="12" spans="1:5" ht="17.100000000000001" customHeight="1" x14ac:dyDescent="0.25">
      <c r="A12" s="1"/>
      <c r="B12" s="39" t="s">
        <v>30</v>
      </c>
      <c r="C12" s="9">
        <f>-'Fane 11.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39" t="s">
        <v>29</v>
      </c>
      <c r="C13" s="9">
        <f>-'Fane 11.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39" t="s">
        <v>158</v>
      </c>
      <c r="C14" s="9">
        <f>'Fane 10.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39" t="s">
        <v>159</v>
      </c>
      <c r="C15" s="9">
        <f>'Fane 10.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39" t="s">
        <v>18</v>
      </c>
      <c r="C16" s="9">
        <f>SUM(C9:C15)*'Fane 13. Nøgletal'!C13</f>
        <v>308811.41365993972</v>
      </c>
      <c r="D16" s="8" t="s">
        <v>3</v>
      </c>
      <c r="E16" s="1"/>
    </row>
    <row r="17" spans="1:5" ht="17.100000000000001" customHeight="1" x14ac:dyDescent="0.25">
      <c r="A17" s="1"/>
      <c r="B17" s="39" t="s">
        <v>9</v>
      </c>
      <c r="C17" s="9">
        <f>-SUM(C9:C16)*'Fane 5. Individuelt eff. krav'!G10</f>
        <v>-13259.798992357393</v>
      </c>
      <c r="D17" s="8" t="s">
        <v>3</v>
      </c>
      <c r="E17" s="1"/>
    </row>
    <row r="18" spans="1:5" ht="17.100000000000001" customHeight="1" x14ac:dyDescent="0.25">
      <c r="A18" s="1"/>
      <c r="B18" s="39" t="s">
        <v>27</v>
      </c>
      <c r="C18" s="9">
        <f>-'Fane 4.1. Gen. krav - drift'!G33</f>
        <v>-256588.84102905792</v>
      </c>
      <c r="D18" s="8" t="s">
        <v>3</v>
      </c>
      <c r="E18" s="1"/>
    </row>
    <row r="19" spans="1:5" ht="17.100000000000001" customHeight="1" x14ac:dyDescent="0.25">
      <c r="A19" s="1"/>
      <c r="B19" s="39" t="s">
        <v>28</v>
      </c>
      <c r="C19" s="9">
        <f>-'Fane 4.2. Gen. krav - anlæg'!G32</f>
        <v>-351789.40497216093</v>
      </c>
      <c r="D19" s="8" t="s">
        <v>3</v>
      </c>
      <c r="E19" s="1"/>
    </row>
    <row r="20" spans="1:5" ht="17.100000000000001" customHeight="1" x14ac:dyDescent="0.25">
      <c r="A20" s="1"/>
      <c r="B20" s="55" t="s">
        <v>20</v>
      </c>
      <c r="C20" s="10">
        <f>SUM(C9:C19)</f>
        <v>24999584.324399125</v>
      </c>
      <c r="D20" s="11" t="s">
        <v>3</v>
      </c>
      <c r="E20" s="1"/>
    </row>
    <row r="21" spans="1:5" ht="15" customHeight="1" x14ac:dyDescent="0.25">
      <c r="A21" s="1"/>
      <c r="B21" s="44" t="s">
        <v>12</v>
      </c>
      <c r="C21" s="45"/>
      <c r="D21" s="20"/>
      <c r="E21" s="1"/>
    </row>
    <row r="22" spans="1:5" ht="15" customHeight="1" x14ac:dyDescent="0.25">
      <c r="A22" s="1"/>
      <c r="B22" s="46" t="s">
        <v>12</v>
      </c>
      <c r="C22" s="10">
        <f>'Fane 6. Ikke-påvirkelige omk.'!C17</f>
        <v>16261949.626778521</v>
      </c>
      <c r="D22" s="11" t="s">
        <v>3</v>
      </c>
      <c r="E22" s="1"/>
    </row>
    <row r="23" spans="1:5" ht="15" customHeight="1" x14ac:dyDescent="0.25">
      <c r="A23" s="1"/>
      <c r="B23" s="44" t="s">
        <v>99</v>
      </c>
      <c r="C23" s="45"/>
      <c r="D23" s="20"/>
      <c r="E23" s="1"/>
    </row>
    <row r="24" spans="1:5" ht="15" customHeight="1" x14ac:dyDescent="0.25">
      <c r="A24" s="1"/>
      <c r="B24" s="39" t="s">
        <v>95</v>
      </c>
      <c r="C24" s="9">
        <f>'Fane 9.2. Engangstillæg'!C14</f>
        <v>71091.904118511695</v>
      </c>
      <c r="D24" s="8" t="s">
        <v>3</v>
      </c>
      <c r="E24" s="1"/>
    </row>
    <row r="25" spans="1:5" ht="15" customHeight="1" x14ac:dyDescent="0.25">
      <c r="A25" s="1"/>
      <c r="B25" s="39" t="s">
        <v>96</v>
      </c>
      <c r="C25" s="9">
        <f>'Fane 9.2. Engangstillæg'!E14</f>
        <v>0</v>
      </c>
      <c r="D25" s="8" t="s">
        <v>3</v>
      </c>
      <c r="E25" s="1"/>
    </row>
    <row r="26" spans="1:5" x14ac:dyDescent="0.25">
      <c r="A26" s="1"/>
      <c r="B26" s="55" t="s">
        <v>100</v>
      </c>
      <c r="C26" s="10">
        <f>SUM(C24:C25)</f>
        <v>71091.904118511695</v>
      </c>
      <c r="D26" s="11" t="s">
        <v>3</v>
      </c>
      <c r="E26" s="1"/>
    </row>
    <row r="27" spans="1:5" ht="15" customHeight="1" x14ac:dyDescent="0.25">
      <c r="A27" s="1"/>
      <c r="B27" s="37" t="s">
        <v>203</v>
      </c>
      <c r="C27" s="45"/>
      <c r="D27" s="20"/>
      <c r="E27" s="1"/>
    </row>
    <row r="28" spans="1:5" x14ac:dyDescent="0.25">
      <c r="A28" s="1"/>
      <c r="B28" s="57" t="s">
        <v>204</v>
      </c>
      <c r="C28" s="10">
        <f>'Fane 7. Kontrol af ØR2019'!E39</f>
        <v>0</v>
      </c>
      <c r="D28" s="11" t="s">
        <v>3</v>
      </c>
      <c r="E28" s="1"/>
    </row>
    <row r="29" spans="1:5" x14ac:dyDescent="0.25">
      <c r="A29" s="1"/>
      <c r="B29" s="37" t="s">
        <v>265</v>
      </c>
      <c r="C29" s="45"/>
      <c r="D29" s="20"/>
      <c r="E29" s="1"/>
    </row>
    <row r="30" spans="1:5" x14ac:dyDescent="0.25">
      <c r="A30" s="1"/>
      <c r="B30" s="57" t="s">
        <v>264</v>
      </c>
      <c r="C30" s="10">
        <f>'Fane 12.2. Uhjemlet rentepost'!C53/2</f>
        <v>-3944193.5</v>
      </c>
      <c r="D30" s="11" t="s">
        <v>3</v>
      </c>
      <c r="E30" s="1"/>
    </row>
    <row r="31" spans="1:5" x14ac:dyDescent="0.25">
      <c r="A31" s="1"/>
      <c r="B31" s="44" t="s">
        <v>31</v>
      </c>
      <c r="C31" s="31">
        <f>SUM(C20,C22,C26,C28,C30)</f>
        <v>37388432.35529615</v>
      </c>
      <c r="D31" s="20" t="s">
        <v>3</v>
      </c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+Mnr1l1Wh9tfS7zOQYk1QjZtqbnsw16iCEnY3hNyT3bzhiCq3aM2ocPRZIXlYE9FYoN7YOeDV4rbx5OhYTe8mQ==" saltValue="5JTG3BqQgMoiYjqKHV5fp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161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79"/>
      <c r="C5" s="79"/>
      <c r="D5" s="79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4" t="s">
        <v>13</v>
      </c>
      <c r="C8" s="45"/>
      <c r="D8" s="20"/>
      <c r="E8" s="1"/>
    </row>
    <row r="9" spans="1:5" ht="15" customHeight="1" x14ac:dyDescent="0.25">
      <c r="A9" s="1"/>
      <c r="B9" s="48" t="s">
        <v>26</v>
      </c>
      <c r="C9" s="7">
        <f>'Fane 2.1. Økonomisk ramme 2021'!C20</f>
        <v>24999584.324399125</v>
      </c>
      <c r="D9" s="8" t="s">
        <v>3</v>
      </c>
      <c r="E9" s="1"/>
    </row>
    <row r="10" spans="1:5" ht="15" customHeight="1" x14ac:dyDescent="0.25">
      <c r="A10" s="1"/>
      <c r="B10" s="39" t="s">
        <v>30</v>
      </c>
      <c r="C10" s="7">
        <f>-'Fane 11. Bortfald'!C19</f>
        <v>0</v>
      </c>
      <c r="D10" s="8" t="s">
        <v>3</v>
      </c>
      <c r="E10" s="1"/>
    </row>
    <row r="11" spans="1:5" ht="15" customHeight="1" x14ac:dyDescent="0.25">
      <c r="A11" s="1"/>
      <c r="B11" s="39" t="s">
        <v>29</v>
      </c>
      <c r="C11" s="7">
        <f>-'Fane 11. Bortfald'!E19</f>
        <v>0</v>
      </c>
      <c r="D11" s="8" t="s">
        <v>3</v>
      </c>
      <c r="E11" s="1"/>
    </row>
    <row r="12" spans="1:5" ht="15" customHeight="1" x14ac:dyDescent="0.25">
      <c r="A12" s="1"/>
      <c r="B12" s="43" t="s">
        <v>18</v>
      </c>
      <c r="C12" s="9">
        <f>SUM(C9:C11)*'Fane 13. Nøgletal'!C13</f>
        <v>304994.92875766935</v>
      </c>
      <c r="D12" s="8" t="s">
        <v>3</v>
      </c>
      <c r="E12" s="1"/>
    </row>
    <row r="13" spans="1:5" ht="15" customHeight="1" x14ac:dyDescent="0.25">
      <c r="A13" s="1"/>
      <c r="B13" s="43" t="s">
        <v>9</v>
      </c>
      <c r="C13" s="9">
        <f>-SUM(C9:C12)*'Fane 5. Individuelt eff. krav'!G10</f>
        <v>-13095.926089922514</v>
      </c>
      <c r="D13" s="8" t="s">
        <v>3</v>
      </c>
      <c r="E13" s="1"/>
    </row>
    <row r="14" spans="1:5" ht="15" customHeight="1" x14ac:dyDescent="0.25">
      <c r="A14" s="1"/>
      <c r="B14" s="43" t="s">
        <v>27</v>
      </c>
      <c r="C14" s="9">
        <f>-'Fane 4.1. Gen. krav - drift'!G39</f>
        <v>-254524.84039182018</v>
      </c>
      <c r="D14" s="8" t="s">
        <v>3</v>
      </c>
      <c r="E14" s="1"/>
    </row>
    <row r="15" spans="1:5" ht="15" customHeight="1" x14ac:dyDescent="0.25">
      <c r="A15" s="1"/>
      <c r="B15" s="43" t="s">
        <v>28</v>
      </c>
      <c r="C15" s="9">
        <f>-'Fane 4.2. Gen. krav - anlæg'!G38</f>
        <v>-346289.00173071871</v>
      </c>
      <c r="D15" s="8" t="s">
        <v>3</v>
      </c>
      <c r="E15" s="1"/>
    </row>
    <row r="16" spans="1:5" ht="15" customHeight="1" x14ac:dyDescent="0.25">
      <c r="A16" s="1"/>
      <c r="B16" s="49" t="s">
        <v>20</v>
      </c>
      <c r="C16" s="10">
        <f>SUM(C9:C15)</f>
        <v>24690669.484944332</v>
      </c>
      <c r="D16" s="11" t="s">
        <v>3</v>
      </c>
      <c r="E16" s="1"/>
    </row>
    <row r="17" spans="1:5" x14ac:dyDescent="0.25">
      <c r="A17" s="1"/>
      <c r="B17" s="44" t="s">
        <v>12</v>
      </c>
      <c r="C17" s="45"/>
      <c r="D17" s="20"/>
      <c r="E17" s="1"/>
    </row>
    <row r="18" spans="1:5" ht="15" customHeight="1" x14ac:dyDescent="0.25">
      <c r="A18" s="1"/>
      <c r="B18" s="46" t="s">
        <v>12</v>
      </c>
      <c r="C18" s="10">
        <f>'Fane 6. Ikke-påvirkelige omk.'!C17*(1+'Fane 13. Nøgletal'!C13)</f>
        <v>16460345.412225218</v>
      </c>
      <c r="D18" s="11" t="s">
        <v>3</v>
      </c>
      <c r="E18" s="1"/>
    </row>
    <row r="19" spans="1:5" ht="15" customHeight="1" x14ac:dyDescent="0.25">
      <c r="A19" s="1"/>
      <c r="B19" s="44" t="s">
        <v>99</v>
      </c>
      <c r="C19" s="45"/>
      <c r="D19" s="20"/>
      <c r="E19" s="1"/>
    </row>
    <row r="20" spans="1:5" ht="15" customHeight="1" x14ac:dyDescent="0.25">
      <c r="A20" s="1"/>
      <c r="B20" s="39" t="s">
        <v>95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25">
      <c r="A21" s="1"/>
      <c r="B21" s="39" t="s">
        <v>96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25">
      <c r="A22" s="1"/>
      <c r="B22" s="55" t="s">
        <v>100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7" t="s">
        <v>203</v>
      </c>
      <c r="C23" s="45"/>
      <c r="D23" s="20"/>
      <c r="E23" s="1"/>
    </row>
    <row r="24" spans="1:5" ht="15" customHeight="1" x14ac:dyDescent="0.25">
      <c r="A24" s="1"/>
      <c r="B24" s="57" t="s">
        <v>204</v>
      </c>
      <c r="C24" s="10">
        <f>'Fane 7. Kontrol af ØR2019'!E39</f>
        <v>0</v>
      </c>
      <c r="D24" s="11" t="s">
        <v>3</v>
      </c>
      <c r="E24" s="1"/>
    </row>
    <row r="25" spans="1:5" ht="15" customHeight="1" x14ac:dyDescent="0.25">
      <c r="A25" s="1"/>
      <c r="B25" s="37" t="s">
        <v>265</v>
      </c>
      <c r="C25" s="45"/>
      <c r="D25" s="20"/>
      <c r="E25" s="1"/>
    </row>
    <row r="26" spans="1:5" ht="15" customHeight="1" x14ac:dyDescent="0.25">
      <c r="A26" s="1"/>
      <c r="B26" s="57" t="s">
        <v>264</v>
      </c>
      <c r="C26" s="10">
        <f>'Fane 12.2. Uhjemlet rentepost'!C53/2</f>
        <v>-3944193.5</v>
      </c>
      <c r="D26" s="11" t="s">
        <v>3</v>
      </c>
      <c r="E26" s="1"/>
    </row>
    <row r="27" spans="1:5" x14ac:dyDescent="0.25">
      <c r="A27" s="1"/>
      <c r="B27" s="44" t="s">
        <v>32</v>
      </c>
      <c r="C27" s="12">
        <f>SUM(C16,C18,C22,C24,C26)</f>
        <v>37206821.397169553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wzlrQRjrzIUgfqlTLNXJVMR/NYJI1zhdg18gk65XxOu+EXIQATaXg0snjLeHe2LRd9pT2UQRuLM7A0JVPFubWg==" saltValue="7QMV1D8rh3EJsrmxoAvaw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162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79" t="s">
        <v>21</v>
      </c>
      <c r="C5" s="79"/>
      <c r="D5" s="79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4" t="s">
        <v>13</v>
      </c>
      <c r="C7" s="45"/>
      <c r="D7" s="20"/>
      <c r="E7" s="1"/>
    </row>
    <row r="8" spans="1:5" ht="15" customHeight="1" x14ac:dyDescent="0.25">
      <c r="A8" s="1"/>
      <c r="B8" s="48" t="s">
        <v>164</v>
      </c>
      <c r="C8" s="7">
        <f>'Fane 2.2. Økonomisk ramme 2022'!C16</f>
        <v>24690669.484944332</v>
      </c>
      <c r="D8" s="8" t="s">
        <v>3</v>
      </c>
      <c r="E8" s="1"/>
    </row>
    <row r="9" spans="1:5" ht="15" customHeight="1" x14ac:dyDescent="0.25">
      <c r="A9" s="1"/>
      <c r="B9" s="48" t="s">
        <v>30</v>
      </c>
      <c r="C9" s="7">
        <f>-'Fane 11. Bortfald'!C26</f>
        <v>0</v>
      </c>
      <c r="D9" s="8" t="s">
        <v>3</v>
      </c>
      <c r="E9" s="1"/>
    </row>
    <row r="10" spans="1:5" ht="15" customHeight="1" x14ac:dyDescent="0.25">
      <c r="A10" s="1"/>
      <c r="B10" s="48" t="s">
        <v>29</v>
      </c>
      <c r="C10" s="7">
        <f>-'Fane 11. Bortfald'!E26</f>
        <v>0</v>
      </c>
      <c r="D10" s="8" t="s">
        <v>3</v>
      </c>
      <c r="E10" s="1"/>
    </row>
    <row r="11" spans="1:5" ht="15" customHeight="1" x14ac:dyDescent="0.25">
      <c r="A11" s="1"/>
      <c r="B11" s="43" t="s">
        <v>18</v>
      </c>
      <c r="C11" s="9">
        <f>SUM(C8:C10)*'Fane 13. Nøgletal'!C13</f>
        <v>301226.1677163209</v>
      </c>
      <c r="D11" s="8" t="s">
        <v>3</v>
      </c>
      <c r="E11" s="1"/>
    </row>
    <row r="12" spans="1:5" ht="15" customHeight="1" x14ac:dyDescent="0.25">
      <c r="A12" s="1"/>
      <c r="B12" s="43" t="s">
        <v>9</v>
      </c>
      <c r="C12" s="9">
        <f>-SUM(C8:C11)*'Fane 5. Individuelt eff. krav'!G10</f>
        <v>-12934.102363052309</v>
      </c>
      <c r="D12" s="8" t="s">
        <v>3</v>
      </c>
      <c r="E12" s="1"/>
    </row>
    <row r="13" spans="1:5" ht="15" customHeight="1" x14ac:dyDescent="0.25">
      <c r="A13" s="1"/>
      <c r="B13" s="43" t="s">
        <v>27</v>
      </c>
      <c r="C13" s="9">
        <f>-'Fane 4.1. Gen. krav - drift'!G45</f>
        <v>-252477.44257570838</v>
      </c>
      <c r="D13" s="8" t="s">
        <v>3</v>
      </c>
      <c r="E13" s="1"/>
    </row>
    <row r="14" spans="1:5" ht="15" customHeight="1" x14ac:dyDescent="0.25">
      <c r="A14" s="1"/>
      <c r="B14" s="43" t="s">
        <v>28</v>
      </c>
      <c r="C14" s="9">
        <f>-'Fane 4.2. Gen. krav - anlæg'!G44</f>
        <v>-340874.60004415805</v>
      </c>
      <c r="D14" s="8" t="s">
        <v>3</v>
      </c>
      <c r="E14" s="1"/>
    </row>
    <row r="15" spans="1:5" x14ac:dyDescent="0.25">
      <c r="A15" s="1"/>
      <c r="B15" s="49" t="s">
        <v>20</v>
      </c>
      <c r="C15" s="10">
        <f>SUM(C8:C14)</f>
        <v>24385609.507677734</v>
      </c>
      <c r="D15" s="11" t="s">
        <v>3</v>
      </c>
      <c r="E15" s="1"/>
    </row>
    <row r="16" spans="1:5" x14ac:dyDescent="0.25">
      <c r="A16" s="1"/>
      <c r="B16" s="44" t="s">
        <v>12</v>
      </c>
      <c r="C16" s="45"/>
      <c r="D16" s="20"/>
      <c r="E16" s="1"/>
    </row>
    <row r="17" spans="1:5" ht="15" customHeight="1" x14ac:dyDescent="0.25">
      <c r="A17" s="1"/>
      <c r="B17" s="46" t="s">
        <v>12</v>
      </c>
      <c r="C17" s="10">
        <f>'Fane 6. Ikke-påvirkelige omk.'!C17*(1+'Fane 13. Nøgletal'!C13)^2</f>
        <v>16661161.626254367</v>
      </c>
      <c r="D17" s="11" t="s">
        <v>3</v>
      </c>
      <c r="E17" s="1"/>
    </row>
    <row r="18" spans="1:5" ht="15" customHeight="1" x14ac:dyDescent="0.25">
      <c r="A18" s="1"/>
      <c r="B18" s="44" t="s">
        <v>99</v>
      </c>
      <c r="C18" s="45"/>
      <c r="D18" s="20"/>
      <c r="E18" s="1"/>
    </row>
    <row r="19" spans="1:5" ht="15" customHeight="1" x14ac:dyDescent="0.25">
      <c r="A19" s="1"/>
      <c r="B19" s="39" t="s">
        <v>95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25">
      <c r="A20" s="1"/>
      <c r="B20" s="39" t="s">
        <v>96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25">
      <c r="A21" s="1"/>
      <c r="B21" s="55" t="s">
        <v>100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44" t="s">
        <v>109</v>
      </c>
      <c r="C22" s="12">
        <f>SUM(C15,C17,C21)</f>
        <v>41046771.133932099</v>
      </c>
      <c r="D22" s="13" t="s">
        <v>3</v>
      </c>
      <c r="E22" s="1"/>
    </row>
    <row r="23" spans="1:5" ht="15" customHeight="1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P/R5Ijb4SqwB7bMxjgJUMOG2fBNgB3eVlrNC2CUYdqGp1j5gcAh/8kj4tcApw5sEJ8uizg8JTlgo5tdU7DRx7Q==" saltValue="mwtLeEUuAGCSPz5m6caBm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163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79" t="s">
        <v>21</v>
      </c>
      <c r="C5" s="79"/>
      <c r="D5" s="79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4" t="s">
        <v>13</v>
      </c>
      <c r="C7" s="45"/>
      <c r="D7" s="20"/>
      <c r="E7" s="1"/>
    </row>
    <row r="8" spans="1:5" ht="15" customHeight="1" x14ac:dyDescent="0.25">
      <c r="A8" s="1"/>
      <c r="B8" s="48" t="s">
        <v>165</v>
      </c>
      <c r="C8" s="7">
        <f>'Fane 2.3. Økonomisk ramme 2023'!C15</f>
        <v>24385609.507677734</v>
      </c>
      <c r="D8" s="8" t="s">
        <v>3</v>
      </c>
      <c r="E8" s="1"/>
    </row>
    <row r="9" spans="1:5" ht="15" customHeight="1" x14ac:dyDescent="0.25">
      <c r="A9" s="1"/>
      <c r="B9" s="48" t="s">
        <v>30</v>
      </c>
      <c r="C9" s="7">
        <f>-'Fane 11. Bortfald'!C33</f>
        <v>0</v>
      </c>
      <c r="D9" s="8" t="s">
        <v>3</v>
      </c>
      <c r="E9" s="1"/>
    </row>
    <row r="10" spans="1:5" ht="15" customHeight="1" x14ac:dyDescent="0.25">
      <c r="A10" s="1"/>
      <c r="B10" s="48" t="s">
        <v>29</v>
      </c>
      <c r="C10" s="7">
        <f>-'Fane 11. Bortfald'!E33</f>
        <v>0</v>
      </c>
      <c r="D10" s="8" t="s">
        <v>3</v>
      </c>
      <c r="E10" s="1"/>
    </row>
    <row r="11" spans="1:5" ht="15" customHeight="1" x14ac:dyDescent="0.25">
      <c r="A11" s="1"/>
      <c r="B11" s="43" t="s">
        <v>18</v>
      </c>
      <c r="C11" s="9">
        <f>SUM(C8:C10)*'Fane 13. Nøgletal'!C13</f>
        <v>297504.43599366839</v>
      </c>
      <c r="D11" s="8" t="s">
        <v>3</v>
      </c>
      <c r="E11" s="1"/>
    </row>
    <row r="12" spans="1:5" ht="15" customHeight="1" x14ac:dyDescent="0.25">
      <c r="A12" s="1"/>
      <c r="B12" s="43" t="s">
        <v>9</v>
      </c>
      <c r="C12" s="9">
        <f>-SUM(C8:C11)*'Fane 5. Individuelt eff. krav'!G10</f>
        <v>-12774.297989370074</v>
      </c>
      <c r="D12" s="8" t="s">
        <v>3</v>
      </c>
      <c r="E12" s="1"/>
    </row>
    <row r="13" spans="1:5" ht="15" customHeight="1" x14ac:dyDescent="0.25">
      <c r="A13" s="1"/>
      <c r="B13" s="43" t="s">
        <v>27</v>
      </c>
      <c r="C13" s="9">
        <f>-'Fane 4.1. Gen. krav - drift'!G51</f>
        <v>-250446.5140276294</v>
      </c>
      <c r="D13" s="8" t="s">
        <v>3</v>
      </c>
      <c r="E13" s="1"/>
    </row>
    <row r="14" spans="1:5" ht="15" customHeight="1" x14ac:dyDescent="0.25">
      <c r="A14" s="1"/>
      <c r="B14" s="43" t="s">
        <v>28</v>
      </c>
      <c r="C14" s="9">
        <f>-'Fane 4.2. Gen. krav - anlæg'!G50</f>
        <v>-335544.8552351676</v>
      </c>
      <c r="D14" s="8" t="s">
        <v>3</v>
      </c>
      <c r="E14" s="1"/>
    </row>
    <row r="15" spans="1:5" x14ac:dyDescent="0.25">
      <c r="A15" s="1"/>
      <c r="B15" s="49" t="s">
        <v>20</v>
      </c>
      <c r="C15" s="10">
        <f>SUM(C8:C14)</f>
        <v>24084348.276419237</v>
      </c>
      <c r="D15" s="11" t="s">
        <v>3</v>
      </c>
      <c r="E15" s="1"/>
    </row>
    <row r="16" spans="1:5" x14ac:dyDescent="0.25">
      <c r="A16" s="1"/>
      <c r="B16" s="44" t="s">
        <v>12</v>
      </c>
      <c r="C16" s="45"/>
      <c r="D16" s="20"/>
      <c r="E16" s="1"/>
    </row>
    <row r="17" spans="1:5" ht="15" customHeight="1" x14ac:dyDescent="0.25">
      <c r="A17" s="1"/>
      <c r="B17" s="46" t="s">
        <v>12</v>
      </c>
      <c r="C17" s="10">
        <f>'Fane 6. Ikke-påvirkelige omk.'!C17*(1+'Fane 13. Nøgletal'!C13)^3</f>
        <v>16864427.798094671</v>
      </c>
      <c r="D17" s="11" t="s">
        <v>3</v>
      </c>
      <c r="E17" s="1"/>
    </row>
    <row r="18" spans="1:5" ht="15" customHeight="1" x14ac:dyDescent="0.25">
      <c r="A18" s="1"/>
      <c r="B18" s="44" t="s">
        <v>99</v>
      </c>
      <c r="C18" s="45"/>
      <c r="D18" s="20"/>
      <c r="E18" s="1"/>
    </row>
    <row r="19" spans="1:5" ht="15" customHeight="1" x14ac:dyDescent="0.25">
      <c r="A19" s="1"/>
      <c r="B19" s="39" t="s">
        <v>95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25">
      <c r="A20" s="1"/>
      <c r="B20" s="39" t="s">
        <v>96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25">
      <c r="A21" s="1"/>
      <c r="B21" s="55" t="s">
        <v>100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44" t="s">
        <v>275</v>
      </c>
      <c r="C22" s="12">
        <f>SUM(C15,C17,C21)</f>
        <v>40948776.074513912</v>
      </c>
      <c r="D22" s="13" t="s">
        <v>3</v>
      </c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QYsNK8u9x/TngRBv8OKbvQcmLxLsPy6ub8ctuO8n8I2u4Pk01paFdWr2kRInTooUQvgnmq8FH6NU9ezlCH4+1Q==" saltValue="8goedgsp6Hes3MZ7gw+kI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3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7" t="s">
        <v>179</v>
      </c>
      <c r="C3" s="97"/>
      <c r="D3" s="97"/>
      <c r="E3" s="97"/>
      <c r="F3" s="97"/>
      <c r="G3" s="1"/>
    </row>
    <row r="4" spans="1:7" ht="29.25" customHeight="1" x14ac:dyDescent="0.25">
      <c r="A4" s="1"/>
      <c r="B4" s="97"/>
      <c r="C4" s="97"/>
      <c r="D4" s="97"/>
      <c r="E4" s="97"/>
      <c r="F4" s="9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4" t="s">
        <v>166</v>
      </c>
      <c r="C8" s="45"/>
      <c r="D8" s="45"/>
      <c r="E8" s="45"/>
      <c r="F8" s="20"/>
      <c r="G8" s="1"/>
    </row>
    <row r="9" spans="1:7" x14ac:dyDescent="0.25">
      <c r="A9" s="1"/>
      <c r="B9" s="98" t="s">
        <v>23</v>
      </c>
      <c r="C9" s="99"/>
      <c r="D9" s="100"/>
      <c r="E9" s="7">
        <v>22474089.661116298</v>
      </c>
      <c r="F9" s="8" t="s">
        <v>3</v>
      </c>
      <c r="G9" s="1"/>
    </row>
    <row r="10" spans="1:7" ht="15" customHeight="1" x14ac:dyDescent="0.25">
      <c r="A10" s="1"/>
      <c r="B10" s="83" t="s">
        <v>45</v>
      </c>
      <c r="C10" s="84"/>
      <c r="D10" s="85"/>
      <c r="E10" s="7">
        <v>1096326.3762000001</v>
      </c>
      <c r="F10" s="8" t="s">
        <v>3</v>
      </c>
      <c r="G10" s="1"/>
    </row>
    <row r="11" spans="1:7" ht="15" customHeight="1" x14ac:dyDescent="0.25">
      <c r="A11" s="1"/>
      <c r="B11" s="83" t="s">
        <v>46</v>
      </c>
      <c r="C11" s="84"/>
      <c r="D11" s="85"/>
      <c r="E11" s="9">
        <v>27773.568900000002</v>
      </c>
      <c r="F11" s="8" t="s">
        <v>3</v>
      </c>
      <c r="G11" s="1"/>
    </row>
    <row r="12" spans="1:7" x14ac:dyDescent="0.25">
      <c r="A12" s="1"/>
      <c r="B12" s="83" t="s">
        <v>30</v>
      </c>
      <c r="C12" s="84"/>
      <c r="D12" s="85"/>
      <c r="E12" s="9">
        <v>0</v>
      </c>
      <c r="F12" s="8" t="s">
        <v>3</v>
      </c>
      <c r="G12" s="1"/>
    </row>
    <row r="13" spans="1:7" x14ac:dyDescent="0.25">
      <c r="A13" s="1"/>
      <c r="B13" s="83" t="s">
        <v>29</v>
      </c>
      <c r="C13" s="84"/>
      <c r="D13" s="85"/>
      <c r="E13" s="9">
        <v>0</v>
      </c>
      <c r="F13" s="8" t="s">
        <v>3</v>
      </c>
      <c r="G13" s="1"/>
    </row>
    <row r="14" spans="1:7" x14ac:dyDescent="0.25">
      <c r="A14" s="1"/>
      <c r="B14" s="83" t="s">
        <v>158</v>
      </c>
      <c r="C14" s="84"/>
      <c r="D14" s="85"/>
      <c r="E14" s="9">
        <v>0</v>
      </c>
      <c r="F14" s="8" t="s">
        <v>3</v>
      </c>
      <c r="G14" s="1"/>
    </row>
    <row r="15" spans="1:7" x14ac:dyDescent="0.25">
      <c r="A15" s="1"/>
      <c r="B15" s="83" t="s">
        <v>159</v>
      </c>
      <c r="C15" s="84"/>
      <c r="D15" s="85"/>
      <c r="E15" s="9">
        <v>0</v>
      </c>
      <c r="F15" s="8" t="s">
        <v>3</v>
      </c>
      <c r="G15" s="1"/>
    </row>
    <row r="16" spans="1:7" x14ac:dyDescent="0.25">
      <c r="A16" s="1"/>
      <c r="B16" s="83" t="s">
        <v>18</v>
      </c>
      <c r="C16" s="84"/>
      <c r="D16" s="85"/>
      <c r="E16" s="9">
        <f>E9*'Fane 13. Nøgletal'!C11+SUM(E10:E15)*'Fane 13. Nøgletal'!C12</f>
        <v>401956.88419133541</v>
      </c>
      <c r="F16" s="8" t="s">
        <v>3</v>
      </c>
      <c r="G16" s="1"/>
    </row>
    <row r="17" spans="1:7" x14ac:dyDescent="0.25">
      <c r="A17" s="1"/>
      <c r="B17" s="83" t="s">
        <v>9</v>
      </c>
      <c r="C17" s="84"/>
      <c r="D17" s="85"/>
      <c r="E17" s="9">
        <f>-SUM(E9:E16)*'Fane 5. Individuelt eff. krav'!G9</f>
        <v>0</v>
      </c>
      <c r="F17" s="8" t="s">
        <v>3</v>
      </c>
      <c r="G17" s="1"/>
    </row>
    <row r="18" spans="1:7" x14ac:dyDescent="0.25">
      <c r="A18" s="1"/>
      <c r="B18" s="83" t="s">
        <v>27</v>
      </c>
      <c r="C18" s="84"/>
      <c r="D18" s="85"/>
      <c r="E18" s="9">
        <f>-'Fane 4.1. Gen. krav - drift'!G27</f>
        <v>-255883.86012352759</v>
      </c>
      <c r="F18" s="8" t="s">
        <v>3</v>
      </c>
      <c r="G18" s="1"/>
    </row>
    <row r="19" spans="1:7" x14ac:dyDescent="0.25">
      <c r="A19" s="1"/>
      <c r="B19" s="83" t="s">
        <v>28</v>
      </c>
      <c r="C19" s="84"/>
      <c r="D19" s="85"/>
      <c r="E19" s="9">
        <f>-'Fane 4.2. Gen. krav - anlæg'!G26</f>
        <v>-98054.540991345202</v>
      </c>
      <c r="F19" s="8" t="s">
        <v>3</v>
      </c>
      <c r="G19" s="1"/>
    </row>
    <row r="20" spans="1:7" x14ac:dyDescent="0.25">
      <c r="A20" s="1"/>
      <c r="B20" s="86" t="s">
        <v>20</v>
      </c>
      <c r="C20" s="87"/>
      <c r="D20" s="88"/>
      <c r="E20" s="10">
        <f>SUM(E9:E19)</f>
        <v>23646208.089292765</v>
      </c>
      <c r="F20" s="11" t="s">
        <v>3</v>
      </c>
      <c r="G20" s="1"/>
    </row>
    <row r="21" spans="1:7" x14ac:dyDescent="0.25">
      <c r="A21" s="1"/>
      <c r="B21" s="95" t="s">
        <v>12</v>
      </c>
      <c r="C21" s="96"/>
      <c r="D21" s="96"/>
      <c r="E21" s="45"/>
      <c r="F21" s="20"/>
      <c r="G21" s="1"/>
    </row>
    <row r="22" spans="1:7" x14ac:dyDescent="0.25">
      <c r="A22" s="1"/>
      <c r="B22" s="89" t="s">
        <v>12</v>
      </c>
      <c r="C22" s="90"/>
      <c r="D22" s="91"/>
      <c r="E22" s="10">
        <v>16355851.058878651</v>
      </c>
      <c r="F22" s="11" t="s">
        <v>3</v>
      </c>
      <c r="G22" s="1"/>
    </row>
    <row r="23" spans="1:7" ht="15" customHeight="1" x14ac:dyDescent="0.25">
      <c r="A23" s="1"/>
      <c r="B23" s="95" t="s">
        <v>99</v>
      </c>
      <c r="C23" s="96"/>
      <c r="D23" s="96"/>
      <c r="E23" s="45"/>
      <c r="F23" s="45"/>
      <c r="G23" s="1"/>
    </row>
    <row r="24" spans="1:7" ht="14.25" customHeight="1" x14ac:dyDescent="0.25">
      <c r="A24" s="1"/>
      <c r="B24" s="80" t="s">
        <v>95</v>
      </c>
      <c r="C24" s="81"/>
      <c r="D24" s="82"/>
      <c r="E24" s="9">
        <v>0</v>
      </c>
      <c r="F24" s="8" t="s">
        <v>3</v>
      </c>
      <c r="G24" s="1"/>
    </row>
    <row r="25" spans="1:7" ht="14.25" customHeight="1" x14ac:dyDescent="0.25">
      <c r="A25" s="1"/>
      <c r="B25" s="80" t="s">
        <v>96</v>
      </c>
      <c r="C25" s="81"/>
      <c r="D25" s="82"/>
      <c r="E25" s="9">
        <v>0</v>
      </c>
      <c r="F25" s="8" t="s">
        <v>3</v>
      </c>
      <c r="G25" s="1"/>
    </row>
    <row r="26" spans="1:7" x14ac:dyDescent="0.25">
      <c r="A26" s="1"/>
      <c r="B26" s="92" t="s">
        <v>100</v>
      </c>
      <c r="C26" s="93"/>
      <c r="D26" s="93"/>
      <c r="E26" s="10">
        <f>SUM(E24:E25)</f>
        <v>0</v>
      </c>
      <c r="F26" s="11" t="s">
        <v>3</v>
      </c>
      <c r="G26" s="1"/>
    </row>
    <row r="27" spans="1:7" ht="14.25" customHeight="1" x14ac:dyDescent="0.25">
      <c r="A27" s="1"/>
      <c r="B27" s="44" t="s">
        <v>227</v>
      </c>
      <c r="C27" s="45"/>
      <c r="D27" s="45"/>
      <c r="E27" s="45"/>
      <c r="F27" s="45"/>
      <c r="G27" s="1"/>
    </row>
    <row r="28" spans="1:7" ht="13.15" customHeight="1" x14ac:dyDescent="0.25">
      <c r="A28" s="1"/>
      <c r="B28" s="92" t="s">
        <v>228</v>
      </c>
      <c r="C28" s="93"/>
      <c r="D28" s="94"/>
      <c r="E28" s="10">
        <v>-3009491.5132275149</v>
      </c>
      <c r="F28" s="11" t="s">
        <v>3</v>
      </c>
      <c r="G28" s="1"/>
    </row>
    <row r="29" spans="1:7" x14ac:dyDescent="0.25">
      <c r="A29" s="1"/>
      <c r="B29" s="44" t="s">
        <v>229</v>
      </c>
      <c r="C29" s="45"/>
      <c r="D29" s="45"/>
      <c r="E29" s="45"/>
      <c r="F29" s="20"/>
      <c r="G29" s="1"/>
    </row>
    <row r="30" spans="1:7" ht="15" customHeight="1" x14ac:dyDescent="0.25">
      <c r="A30" s="1"/>
      <c r="B30" s="92" t="s">
        <v>230</v>
      </c>
      <c r="C30" s="93"/>
      <c r="D30" s="94"/>
      <c r="E30" s="10">
        <v>0</v>
      </c>
      <c r="F30" s="11" t="s">
        <v>3</v>
      </c>
      <c r="G30" s="1"/>
    </row>
    <row r="31" spans="1:7" x14ac:dyDescent="0.25">
      <c r="A31" s="1"/>
      <c r="B31" s="44" t="s">
        <v>231</v>
      </c>
      <c r="C31" s="45"/>
      <c r="D31" s="45"/>
      <c r="E31" s="45"/>
      <c r="F31" s="20"/>
      <c r="G31" s="1"/>
    </row>
    <row r="32" spans="1:7" x14ac:dyDescent="0.25">
      <c r="A32" s="1"/>
      <c r="B32" s="89" t="s">
        <v>232</v>
      </c>
      <c r="C32" s="90"/>
      <c r="D32" s="91"/>
      <c r="E32" s="10">
        <v>0</v>
      </c>
      <c r="F32" s="11" t="s">
        <v>3</v>
      </c>
      <c r="G32" s="1"/>
    </row>
    <row r="33" spans="1:7" x14ac:dyDescent="0.25">
      <c r="A33" s="1"/>
      <c r="B33" s="44" t="s">
        <v>24</v>
      </c>
      <c r="C33" s="45"/>
      <c r="D33" s="45"/>
      <c r="E33" s="12">
        <f>SUM(E30,E26,E28,E22,E20,E32)</f>
        <v>36992567.634943902</v>
      </c>
      <c r="F33" s="13" t="s">
        <v>3</v>
      </c>
      <c r="G33" s="1"/>
    </row>
    <row r="34" spans="1:7" ht="28.15" customHeight="1" x14ac:dyDescent="0.25">
      <c r="A34" s="1"/>
      <c r="B34" s="80" t="s">
        <v>178</v>
      </c>
      <c r="C34" s="81"/>
      <c r="D34" s="81"/>
      <c r="E34" s="81"/>
      <c r="F34" s="82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ht="14.25" customHeight="1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</sheetData>
  <sheetProtection algorithmName="SHA-512" hashValue="xmS2tV4zOxsTdDo6FyeISvL+n6O33kchXwHyKPrTSx5z8imWwVSVgqAqUE+GMty0CcHC4NvgrrXgMrGvGnTKXw==" saltValue="IbVcAymQadGOdTZC38Pemw==" spinCount="100000" sheet="1" objects="1" scenarios="1"/>
  <mergeCells count="23">
    <mergeCell ref="B13:D13"/>
    <mergeCell ref="B14:D14"/>
    <mergeCell ref="B15:D15"/>
    <mergeCell ref="B21:D21"/>
    <mergeCell ref="B22:D22"/>
    <mergeCell ref="B3:F4"/>
    <mergeCell ref="B9:D9"/>
    <mergeCell ref="B10:D10"/>
    <mergeCell ref="B11:D11"/>
    <mergeCell ref="B12:D12"/>
    <mergeCell ref="B34:F34"/>
    <mergeCell ref="B16:D16"/>
    <mergeCell ref="B17:D17"/>
    <mergeCell ref="B18:D18"/>
    <mergeCell ref="B19:D19"/>
    <mergeCell ref="B20:D20"/>
    <mergeCell ref="B32:D32"/>
    <mergeCell ref="B30:D30"/>
    <mergeCell ref="B23:D23"/>
    <mergeCell ref="B24:D24"/>
    <mergeCell ref="B25:D25"/>
    <mergeCell ref="B26:D26"/>
    <mergeCell ref="B28:D2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2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6" customHeight="1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6.75" customHeight="1" x14ac:dyDescent="0.25">
      <c r="A2" s="1"/>
      <c r="B2" s="78" t="s">
        <v>137</v>
      </c>
      <c r="C2" s="78"/>
      <c r="D2" s="78"/>
      <c r="E2" s="78"/>
      <c r="F2" s="78"/>
      <c r="G2" s="78"/>
      <c r="H2" s="78"/>
      <c r="I2" s="1"/>
    </row>
    <row r="3" spans="1:9" ht="15" customHeight="1" x14ac:dyDescent="0.25">
      <c r="A3" s="1"/>
      <c r="B3" s="78"/>
      <c r="C3" s="78"/>
      <c r="D3" s="78"/>
      <c r="E3" s="78"/>
      <c r="F3" s="78"/>
      <c r="G3" s="78"/>
      <c r="H3" s="78"/>
      <c r="I3" s="1"/>
    </row>
    <row r="4" spans="1:9" ht="11.2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01" t="s">
        <v>64</v>
      </c>
      <c r="C5" s="102"/>
      <c r="D5" s="102"/>
      <c r="E5" s="102"/>
      <c r="F5" s="102"/>
      <c r="G5" s="102"/>
      <c r="H5" s="103"/>
      <c r="I5" s="1"/>
    </row>
    <row r="6" spans="1:9" x14ac:dyDescent="0.25">
      <c r="A6" s="1"/>
      <c r="B6" s="104" t="s">
        <v>53</v>
      </c>
      <c r="C6" s="105"/>
      <c r="D6" s="105"/>
      <c r="E6" s="105"/>
      <c r="F6" s="106"/>
      <c r="G6" s="24">
        <v>11376379</v>
      </c>
      <c r="H6" s="14" t="s">
        <v>3</v>
      </c>
      <c r="I6" s="1"/>
    </row>
    <row r="7" spans="1:9" x14ac:dyDescent="0.25">
      <c r="A7" s="1"/>
      <c r="B7" s="104" t="s">
        <v>54</v>
      </c>
      <c r="C7" s="105"/>
      <c r="D7" s="105"/>
      <c r="E7" s="105"/>
      <c r="F7" s="106"/>
      <c r="G7" s="24">
        <f>G6*'Fane 13. Nøgletal'!C27</f>
        <v>227527.58000000002</v>
      </c>
      <c r="H7" s="14" t="s">
        <v>3</v>
      </c>
      <c r="I7" s="1"/>
    </row>
    <row r="8" spans="1:9" x14ac:dyDescent="0.25">
      <c r="A8" s="1"/>
      <c r="B8" s="44"/>
      <c r="C8" s="45"/>
      <c r="D8" s="45"/>
      <c r="E8" s="45"/>
      <c r="F8" s="45"/>
      <c r="G8" s="45"/>
      <c r="H8" s="20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101" t="s">
        <v>65</v>
      </c>
      <c r="C10" s="102"/>
      <c r="D10" s="102"/>
      <c r="E10" s="102"/>
      <c r="F10" s="102"/>
      <c r="G10" s="102"/>
      <c r="H10" s="103"/>
      <c r="I10" s="1"/>
    </row>
    <row r="11" spans="1:9" x14ac:dyDescent="0.25">
      <c r="A11" s="1"/>
      <c r="B11" s="104" t="s">
        <v>55</v>
      </c>
      <c r="C11" s="105"/>
      <c r="D11" s="105"/>
      <c r="E11" s="105"/>
      <c r="F11" s="106"/>
      <c r="G11" s="24">
        <f>(G6+G12-G7)*(1+'Fane 13. Nøgletal'!C9)</f>
        <v>11520867.540233999</v>
      </c>
      <c r="H11" s="14" t="s">
        <v>3</v>
      </c>
      <c r="I11" s="1"/>
    </row>
    <row r="12" spans="1:9" x14ac:dyDescent="0.25">
      <c r="A12" s="1"/>
      <c r="B12" s="56" t="s">
        <v>334</v>
      </c>
      <c r="C12" s="52"/>
      <c r="D12" s="52"/>
      <c r="E12" s="52"/>
      <c r="F12" s="53"/>
      <c r="G12" s="24">
        <v>227536</v>
      </c>
      <c r="H12" s="14" t="s">
        <v>3</v>
      </c>
      <c r="I12" s="1"/>
    </row>
    <row r="13" spans="1:9" x14ac:dyDescent="0.25">
      <c r="A13" s="1"/>
      <c r="B13" s="107" t="s">
        <v>56</v>
      </c>
      <c r="C13" s="108"/>
      <c r="D13" s="108"/>
      <c r="E13" s="108"/>
      <c r="F13" s="109"/>
      <c r="G13" s="24">
        <v>0</v>
      </c>
      <c r="H13" s="14" t="s">
        <v>3</v>
      </c>
      <c r="I13" s="1"/>
    </row>
    <row r="14" spans="1:9" x14ac:dyDescent="0.25">
      <c r="A14" s="1"/>
      <c r="B14" s="104" t="s">
        <v>57</v>
      </c>
      <c r="C14" s="105"/>
      <c r="D14" s="105"/>
      <c r="E14" s="105"/>
      <c r="F14" s="106"/>
      <c r="G14" s="24">
        <f>(G11+G13)*'Fane 13. Nøgletal'!C27</f>
        <v>230417.35080468</v>
      </c>
      <c r="H14" s="14" t="s">
        <v>3</v>
      </c>
      <c r="I14" s="1"/>
    </row>
    <row r="15" spans="1:9" x14ac:dyDescent="0.25">
      <c r="A15" s="1"/>
      <c r="B15" s="44"/>
      <c r="C15" s="45"/>
      <c r="D15" s="45"/>
      <c r="E15" s="45"/>
      <c r="F15" s="45"/>
      <c r="G15" s="45"/>
      <c r="H15" s="20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01" t="s">
        <v>66</v>
      </c>
      <c r="C17" s="102"/>
      <c r="D17" s="102"/>
      <c r="E17" s="102"/>
      <c r="F17" s="102"/>
      <c r="G17" s="102"/>
      <c r="H17" s="103"/>
      <c r="I17" s="1"/>
    </row>
    <row r="18" spans="1:9" x14ac:dyDescent="0.25">
      <c r="A18" s="1"/>
      <c r="B18" s="104" t="s">
        <v>58</v>
      </c>
      <c r="C18" s="105"/>
      <c r="D18" s="105"/>
      <c r="E18" s="105"/>
      <c r="F18" s="106"/>
      <c r="G18" s="24">
        <f>(G11-G14)*(1+'Fane 13. Nøgletal'!C11)</f>
        <v>11481258.797630675</v>
      </c>
      <c r="H18" s="14" t="s">
        <v>3</v>
      </c>
      <c r="I18" s="1"/>
    </row>
    <row r="19" spans="1:9" x14ac:dyDescent="0.25">
      <c r="A19" s="1"/>
      <c r="B19" s="104" t="s">
        <v>147</v>
      </c>
      <c r="C19" s="105"/>
      <c r="D19" s="105"/>
      <c r="E19" s="105"/>
      <c r="F19" s="106"/>
      <c r="G19" s="24">
        <v>235291.70335695994</v>
      </c>
      <c r="H19" s="14" t="s">
        <v>3</v>
      </c>
      <c r="I19" s="1"/>
    </row>
    <row r="20" spans="1:9" x14ac:dyDescent="0.25">
      <c r="A20" s="1"/>
      <c r="B20" s="107" t="s">
        <v>59</v>
      </c>
      <c r="C20" s="108"/>
      <c r="D20" s="108"/>
      <c r="E20" s="108"/>
      <c r="F20" s="109"/>
      <c r="G20" s="24">
        <v>0</v>
      </c>
      <c r="H20" s="14" t="s">
        <v>3</v>
      </c>
      <c r="I20" s="1"/>
    </row>
    <row r="21" spans="1:9" x14ac:dyDescent="0.25">
      <c r="A21" s="1"/>
      <c r="B21" s="104" t="s">
        <v>60</v>
      </c>
      <c r="C21" s="105"/>
      <c r="D21" s="105"/>
      <c r="E21" s="105"/>
      <c r="F21" s="106"/>
      <c r="G21" s="24">
        <f>SUM(G18:G20)*'Fane 13. Nøgletal'!C27</f>
        <v>234331.01001975272</v>
      </c>
      <c r="H21" s="14" t="s">
        <v>3</v>
      </c>
      <c r="I21" s="1"/>
    </row>
    <row r="22" spans="1:9" x14ac:dyDescent="0.25">
      <c r="A22" s="1"/>
      <c r="B22" s="44"/>
      <c r="C22" s="45"/>
      <c r="D22" s="45"/>
      <c r="E22" s="45"/>
      <c r="F22" s="45"/>
      <c r="G22" s="45"/>
      <c r="H22" s="20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01" t="s">
        <v>67</v>
      </c>
      <c r="C24" s="102"/>
      <c r="D24" s="102"/>
      <c r="E24" s="102"/>
      <c r="F24" s="102"/>
      <c r="G24" s="102"/>
      <c r="H24" s="103"/>
      <c r="I24" s="1"/>
    </row>
    <row r="25" spans="1:9" x14ac:dyDescent="0.25">
      <c r="A25" s="1"/>
      <c r="B25" s="104" t="s">
        <v>61</v>
      </c>
      <c r="C25" s="105"/>
      <c r="D25" s="105"/>
      <c r="E25" s="105"/>
      <c r="F25" s="106"/>
      <c r="G25" s="24">
        <f>(SUM(G18:G20)-G21)*(1+'Fane 13. Nøgletal'!C11)</f>
        <v>11676269.000365239</v>
      </c>
      <c r="H25" s="14" t="s">
        <v>3</v>
      </c>
      <c r="I25" s="1"/>
    </row>
    <row r="26" spans="1:9" x14ac:dyDescent="0.25">
      <c r="A26" s="1"/>
      <c r="B26" s="107" t="s">
        <v>62</v>
      </c>
      <c r="C26" s="108"/>
      <c r="D26" s="108"/>
      <c r="E26" s="108"/>
      <c r="F26" s="109"/>
      <c r="G26" s="24">
        <v>1117924.0058111402</v>
      </c>
      <c r="H26" s="14" t="s">
        <v>3</v>
      </c>
      <c r="I26" s="1"/>
    </row>
    <row r="27" spans="1:9" x14ac:dyDescent="0.25">
      <c r="A27" s="1"/>
      <c r="B27" s="104" t="s">
        <v>63</v>
      </c>
      <c r="C27" s="105"/>
      <c r="D27" s="105"/>
      <c r="E27" s="105"/>
      <c r="F27" s="106"/>
      <c r="G27" s="24">
        <f>(G25+G26)*'Fane 13. Nøgletal'!C27</f>
        <v>255883.86012352759</v>
      </c>
      <c r="H27" s="14" t="s">
        <v>3</v>
      </c>
      <c r="I27" s="1"/>
    </row>
    <row r="28" spans="1:9" x14ac:dyDescent="0.25">
      <c r="A28" s="1"/>
      <c r="B28" s="44"/>
      <c r="C28" s="45"/>
      <c r="D28" s="45"/>
      <c r="E28" s="45"/>
      <c r="F28" s="45"/>
      <c r="G28" s="45"/>
      <c r="H28" s="20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01" t="s">
        <v>221</v>
      </c>
      <c r="C30" s="102"/>
      <c r="D30" s="102"/>
      <c r="E30" s="102"/>
      <c r="F30" s="102"/>
      <c r="G30" s="102"/>
      <c r="H30" s="103"/>
      <c r="I30" s="1"/>
    </row>
    <row r="31" spans="1:9" x14ac:dyDescent="0.25">
      <c r="A31" s="1"/>
      <c r="B31" s="104" t="s">
        <v>70</v>
      </c>
      <c r="C31" s="105"/>
      <c r="D31" s="105"/>
      <c r="E31" s="105"/>
      <c r="F31" s="106"/>
      <c r="G31" s="24">
        <f>(G25+G26-G27)*(1+'Fane 13. Nøgletal'!C13)</f>
        <v>12691276.517634695</v>
      </c>
      <c r="H31" s="14" t="s">
        <v>3</v>
      </c>
      <c r="I31" s="1"/>
    </row>
    <row r="32" spans="1:9" x14ac:dyDescent="0.25">
      <c r="A32" s="1"/>
      <c r="B32" s="104" t="s">
        <v>186</v>
      </c>
      <c r="C32" s="105"/>
      <c r="D32" s="105"/>
      <c r="E32" s="105"/>
      <c r="F32" s="106"/>
      <c r="G32" s="24">
        <f>SUM('Fane 2.1. Økonomisk ramme 2021'!C10,'Fane 2.1. Økonomisk ramme 2021'!C12,'Fane 2.1. Økonomisk ramme 2021'!C14)*(1+'Fane 13. Nøgletal'!C13)</f>
        <v>138165.5338182</v>
      </c>
      <c r="H32" s="14" t="s">
        <v>3</v>
      </c>
      <c r="I32" s="1"/>
    </row>
    <row r="33" spans="1:9" x14ac:dyDescent="0.25">
      <c r="A33" s="1"/>
      <c r="B33" s="104" t="s">
        <v>198</v>
      </c>
      <c r="C33" s="105"/>
      <c r="D33" s="105"/>
      <c r="E33" s="105"/>
      <c r="F33" s="106"/>
      <c r="G33" s="24">
        <f>(G31+G32)*'Fane 13. Nøgletal'!C27</f>
        <v>256588.84102905792</v>
      </c>
      <c r="H33" s="14" t="s">
        <v>3</v>
      </c>
      <c r="I33" s="1"/>
    </row>
    <row r="34" spans="1:9" x14ac:dyDescent="0.25">
      <c r="A34" s="1"/>
      <c r="B34" s="44"/>
      <c r="C34" s="45"/>
      <c r="D34" s="45"/>
      <c r="E34" s="45"/>
      <c r="F34" s="45"/>
      <c r="G34" s="45"/>
      <c r="H34" s="20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01" t="s">
        <v>222</v>
      </c>
      <c r="C36" s="102"/>
      <c r="D36" s="102"/>
      <c r="E36" s="102"/>
      <c r="F36" s="102"/>
      <c r="G36" s="102"/>
      <c r="H36" s="103"/>
      <c r="I36" s="1"/>
    </row>
    <row r="37" spans="1:9" x14ac:dyDescent="0.25">
      <c r="A37" s="1"/>
      <c r="B37" s="104" t="s">
        <v>90</v>
      </c>
      <c r="C37" s="105"/>
      <c r="D37" s="105"/>
      <c r="E37" s="105"/>
      <c r="F37" s="106"/>
      <c r="G37" s="24">
        <f>(G31+G32-G33)*(1+'Fane 13. Nøgletal'!C13)</f>
        <v>12726242.019591009</v>
      </c>
      <c r="H37" s="14" t="s">
        <v>3</v>
      </c>
      <c r="I37" s="1"/>
    </row>
    <row r="38" spans="1:9" x14ac:dyDescent="0.25">
      <c r="A38" s="1"/>
      <c r="B38" s="104" t="s">
        <v>102</v>
      </c>
      <c r="C38" s="105"/>
      <c r="D38" s="105"/>
      <c r="E38" s="105"/>
      <c r="F38" s="106"/>
      <c r="G38" s="24">
        <f>-'Fane 11. Bortfald'!C19*(1+'Fane 13. Nøgletal'!C13)</f>
        <v>0</v>
      </c>
      <c r="H38" s="14" t="s">
        <v>3</v>
      </c>
      <c r="I38" s="1"/>
    </row>
    <row r="39" spans="1:9" x14ac:dyDescent="0.25">
      <c r="A39" s="1"/>
      <c r="B39" s="104" t="s">
        <v>223</v>
      </c>
      <c r="C39" s="105"/>
      <c r="D39" s="105"/>
      <c r="E39" s="105"/>
      <c r="F39" s="106"/>
      <c r="G39" s="24">
        <f>(G37+G38)*'Fane 13. Nøgletal'!C27</f>
        <v>254524.84039182018</v>
      </c>
      <c r="H39" s="14" t="s">
        <v>3</v>
      </c>
      <c r="I39" s="1"/>
    </row>
    <row r="40" spans="1:9" x14ac:dyDescent="0.25">
      <c r="A40" s="1"/>
      <c r="B40" s="44"/>
      <c r="C40" s="45"/>
      <c r="D40" s="45"/>
      <c r="E40" s="45"/>
      <c r="F40" s="45"/>
      <c r="G40" s="45"/>
      <c r="H40" s="20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01" t="s">
        <v>91</v>
      </c>
      <c r="C42" s="102"/>
      <c r="D42" s="102"/>
      <c r="E42" s="102"/>
      <c r="F42" s="102"/>
      <c r="G42" s="102"/>
      <c r="H42" s="103"/>
      <c r="I42" s="1"/>
    </row>
    <row r="43" spans="1:9" x14ac:dyDescent="0.25">
      <c r="A43" s="1"/>
      <c r="B43" s="104" t="s">
        <v>89</v>
      </c>
      <c r="C43" s="105"/>
      <c r="D43" s="105"/>
      <c r="E43" s="105"/>
      <c r="F43" s="106"/>
      <c r="G43" s="24">
        <f>(G37+G38-G39)*(1+'Fane 13. Nøgletal'!C13)</f>
        <v>12623872.128785418</v>
      </c>
      <c r="H43" s="14" t="s">
        <v>3</v>
      </c>
      <c r="I43" s="1"/>
    </row>
    <row r="44" spans="1:9" x14ac:dyDescent="0.25">
      <c r="A44" s="1"/>
      <c r="B44" s="104" t="s">
        <v>103</v>
      </c>
      <c r="C44" s="105"/>
      <c r="D44" s="105"/>
      <c r="E44" s="105"/>
      <c r="F44" s="106"/>
      <c r="G44" s="24">
        <f>-'Fane 11. Bortfald'!C26*(1+'Fane 13. Nøgletal'!C13)</f>
        <v>0</v>
      </c>
      <c r="H44" s="14" t="s">
        <v>3</v>
      </c>
      <c r="I44" s="1"/>
    </row>
    <row r="45" spans="1:9" x14ac:dyDescent="0.25">
      <c r="A45" s="1"/>
      <c r="B45" s="104" t="s">
        <v>71</v>
      </c>
      <c r="C45" s="105"/>
      <c r="D45" s="105"/>
      <c r="E45" s="105"/>
      <c r="F45" s="106"/>
      <c r="G45" s="24">
        <f>(G43+G44)*'Fane 13. Nøgletal'!C27</f>
        <v>252477.44257570838</v>
      </c>
      <c r="H45" s="14" t="s">
        <v>3</v>
      </c>
      <c r="I45" s="1"/>
    </row>
    <row r="46" spans="1:9" x14ac:dyDescent="0.25">
      <c r="A46" s="1"/>
      <c r="B46" s="44"/>
      <c r="C46" s="45"/>
      <c r="D46" s="45"/>
      <c r="E46" s="45"/>
      <c r="F46" s="45"/>
      <c r="G46" s="45"/>
      <c r="H46" s="20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01" t="s">
        <v>187</v>
      </c>
      <c r="C48" s="102"/>
      <c r="D48" s="102"/>
      <c r="E48" s="102"/>
      <c r="F48" s="102"/>
      <c r="G48" s="102"/>
      <c r="H48" s="103"/>
      <c r="I48" s="1"/>
    </row>
    <row r="49" spans="1:9" x14ac:dyDescent="0.25">
      <c r="A49" s="1"/>
      <c r="B49" s="104" t="s">
        <v>188</v>
      </c>
      <c r="C49" s="105"/>
      <c r="D49" s="105"/>
      <c r="E49" s="105"/>
      <c r="F49" s="106"/>
      <c r="G49" s="24">
        <f>(G43+G44-G45)*(1+'Fane 13. Nøgletal'!C13)</f>
        <v>12522325.701381469</v>
      </c>
      <c r="H49" s="14" t="s">
        <v>3</v>
      </c>
      <c r="I49" s="1"/>
    </row>
    <row r="50" spans="1:9" x14ac:dyDescent="0.25">
      <c r="A50" s="1"/>
      <c r="B50" s="104" t="s">
        <v>189</v>
      </c>
      <c r="C50" s="105"/>
      <c r="D50" s="105"/>
      <c r="E50" s="105"/>
      <c r="F50" s="106"/>
      <c r="G50" s="24">
        <f>-'Fane 11. Bortfald'!C33*(1+'Fane 13. Nøgletal'!C13)</f>
        <v>0</v>
      </c>
      <c r="H50" s="14" t="s">
        <v>3</v>
      </c>
      <c r="I50" s="1"/>
    </row>
    <row r="51" spans="1:9" x14ac:dyDescent="0.25">
      <c r="A51" s="1"/>
      <c r="B51" s="104" t="s">
        <v>190</v>
      </c>
      <c r="C51" s="105"/>
      <c r="D51" s="105"/>
      <c r="E51" s="105"/>
      <c r="F51" s="106"/>
      <c r="G51" s="24">
        <f>(G49+G50)*'Fane 13. Nøgletal'!C27</f>
        <v>250446.5140276294</v>
      </c>
      <c r="H51" s="14" t="s">
        <v>3</v>
      </c>
      <c r="I51" s="1"/>
    </row>
    <row r="52" spans="1:9" ht="10.5" customHeight="1" x14ac:dyDescent="0.25">
      <c r="A52" s="1"/>
      <c r="B52" s="44"/>
      <c r="C52" s="45"/>
      <c r="D52" s="45"/>
      <c r="E52" s="45"/>
      <c r="F52" s="45"/>
      <c r="G52" s="45"/>
      <c r="H52" s="20"/>
      <c r="I52" s="1"/>
    </row>
  </sheetData>
  <sheetProtection algorithmName="SHA-512" hashValue="8KwSAIS5WSgHlHyvgt4YyeWyeO/3PTsfE4sTO+pTup72TqOJxXb4vmmZvBka09p4W/vzEDU7TZVu/EMYGLLQyA==" saltValue="VhPMwGUyuTqOTnZYQUyzEw==" spinCount="100000" sheet="1" objects="1" scenarios="1"/>
  <mergeCells count="33">
    <mergeCell ref="B30:H30"/>
    <mergeCell ref="B31:F31"/>
    <mergeCell ref="B36:H36"/>
    <mergeCell ref="B39:F39"/>
    <mergeCell ref="B21:F21"/>
    <mergeCell ref="B25:F25"/>
    <mergeCell ref="B26:F26"/>
    <mergeCell ref="B27:F27"/>
    <mergeCell ref="B37:F37"/>
    <mergeCell ref="B32:F32"/>
    <mergeCell ref="B33:F33"/>
    <mergeCell ref="B24:H24"/>
    <mergeCell ref="B14:F14"/>
    <mergeCell ref="B18:F18"/>
    <mergeCell ref="B20:F20"/>
    <mergeCell ref="B19:F19"/>
    <mergeCell ref="B13:F13"/>
    <mergeCell ref="B48:H48"/>
    <mergeCell ref="B49:F49"/>
    <mergeCell ref="B50:F50"/>
    <mergeCell ref="B51:F51"/>
    <mergeCell ref="B2:H4"/>
    <mergeCell ref="B5:H5"/>
    <mergeCell ref="B6:F6"/>
    <mergeCell ref="B7:F7"/>
    <mergeCell ref="B11:F11"/>
    <mergeCell ref="B10:H10"/>
    <mergeCell ref="B42:H42"/>
    <mergeCell ref="B43:F43"/>
    <mergeCell ref="B45:F45"/>
    <mergeCell ref="B38:F38"/>
    <mergeCell ref="B44:F44"/>
    <mergeCell ref="B17:H1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1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9" customHeight="1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9.899999999999999" customHeight="1" x14ac:dyDescent="0.35">
      <c r="A2" s="1"/>
      <c r="B2" s="110" t="s">
        <v>138</v>
      </c>
      <c r="C2" s="110"/>
      <c r="D2" s="110"/>
      <c r="E2" s="110"/>
      <c r="F2" s="110"/>
      <c r="G2" s="110"/>
      <c r="H2" s="110"/>
      <c r="I2" s="1"/>
    </row>
    <row r="3" spans="1:9" ht="9.75" customHeight="1" x14ac:dyDescent="0.3">
      <c r="A3" s="1"/>
      <c r="B3" s="30"/>
      <c r="C3" s="30"/>
      <c r="D3" s="30"/>
      <c r="E3" s="30"/>
      <c r="F3" s="30"/>
      <c r="G3" s="30"/>
      <c r="H3" s="30"/>
      <c r="I3" s="1"/>
    </row>
    <row r="4" spans="1:9" x14ac:dyDescent="0.25">
      <c r="A4" s="1"/>
      <c r="B4" s="101" t="s">
        <v>68</v>
      </c>
      <c r="C4" s="102"/>
      <c r="D4" s="102"/>
      <c r="E4" s="102"/>
      <c r="F4" s="102"/>
      <c r="G4" s="102"/>
      <c r="H4" s="103"/>
      <c r="I4" s="1"/>
    </row>
    <row r="5" spans="1:9" x14ac:dyDescent="0.25">
      <c r="A5" s="1"/>
      <c r="B5" s="104" t="s">
        <v>72</v>
      </c>
      <c r="C5" s="105"/>
      <c r="D5" s="105"/>
      <c r="E5" s="105"/>
      <c r="F5" s="106"/>
      <c r="G5" s="24">
        <v>10808243.946027</v>
      </c>
      <c r="H5" s="14" t="s">
        <v>3</v>
      </c>
      <c r="I5" s="1"/>
    </row>
    <row r="6" spans="1:9" x14ac:dyDescent="0.25">
      <c r="A6" s="1"/>
      <c r="B6" s="104" t="s">
        <v>69</v>
      </c>
      <c r="C6" s="105"/>
      <c r="D6" s="105"/>
      <c r="E6" s="105"/>
      <c r="F6" s="106"/>
      <c r="G6" s="24">
        <f>G5*'Fane 13. Nøgletal'!C18</f>
        <v>98355.019908845701</v>
      </c>
      <c r="H6" s="14" t="s">
        <v>3</v>
      </c>
      <c r="I6" s="1"/>
    </row>
    <row r="7" spans="1:9" x14ac:dyDescent="0.25">
      <c r="A7" s="1"/>
      <c r="B7" s="44"/>
      <c r="C7" s="45"/>
      <c r="D7" s="45"/>
      <c r="E7" s="45"/>
      <c r="F7" s="45"/>
      <c r="G7" s="45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01" t="s">
        <v>73</v>
      </c>
      <c r="C9" s="102"/>
      <c r="D9" s="102"/>
      <c r="E9" s="102"/>
      <c r="F9" s="102"/>
      <c r="G9" s="102"/>
      <c r="H9" s="103"/>
      <c r="I9" s="1"/>
    </row>
    <row r="10" spans="1:9" x14ac:dyDescent="0.25">
      <c r="A10" s="1"/>
      <c r="B10" s="104" t="s">
        <v>74</v>
      </c>
      <c r="C10" s="105"/>
      <c r="D10" s="105"/>
      <c r="E10" s="105"/>
      <c r="F10" s="106"/>
      <c r="G10" s="24">
        <f>(G5+G11-G6)*(1+'Fane 13. Nøgletal'!C9)</f>
        <v>11025077.475679854</v>
      </c>
      <c r="H10" s="14" t="s">
        <v>3</v>
      </c>
      <c r="I10" s="1"/>
    </row>
    <row r="11" spans="1:9" x14ac:dyDescent="0.25">
      <c r="A11" s="1"/>
      <c r="B11" s="56" t="s">
        <v>335</v>
      </c>
      <c r="C11" s="52"/>
      <c r="D11" s="52"/>
      <c r="E11" s="52"/>
      <c r="F11" s="53"/>
      <c r="G11" s="24">
        <v>176926</v>
      </c>
      <c r="H11" s="14" t="s">
        <v>3</v>
      </c>
      <c r="I11" s="1"/>
    </row>
    <row r="12" spans="1:9" x14ac:dyDescent="0.25">
      <c r="A12" s="1"/>
      <c r="B12" s="107" t="s">
        <v>75</v>
      </c>
      <c r="C12" s="108"/>
      <c r="D12" s="108"/>
      <c r="E12" s="108"/>
      <c r="F12" s="109"/>
      <c r="G12" s="24">
        <v>0</v>
      </c>
      <c r="H12" s="14" t="s">
        <v>3</v>
      </c>
      <c r="I12" s="1"/>
    </row>
    <row r="13" spans="1:9" x14ac:dyDescent="0.25">
      <c r="A13" s="1"/>
      <c r="B13" s="104" t="s">
        <v>76</v>
      </c>
      <c r="C13" s="105"/>
      <c r="D13" s="105"/>
      <c r="E13" s="105"/>
      <c r="F13" s="106"/>
      <c r="G13" s="24">
        <f>G10*'Fane 13. Nøgletal'!C18+G12*'Fane 13. Nøgletal'!C19</f>
        <v>100328.20502868667</v>
      </c>
      <c r="H13" s="14" t="s">
        <v>3</v>
      </c>
      <c r="I13" s="1"/>
    </row>
    <row r="14" spans="1:9" x14ac:dyDescent="0.25">
      <c r="A14" s="1"/>
      <c r="B14" s="44"/>
      <c r="C14" s="45"/>
      <c r="D14" s="45"/>
      <c r="E14" s="45"/>
      <c r="F14" s="45"/>
      <c r="G14" s="45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01" t="s">
        <v>77</v>
      </c>
      <c r="C16" s="102"/>
      <c r="D16" s="102"/>
      <c r="E16" s="102"/>
      <c r="F16" s="102"/>
      <c r="G16" s="102"/>
      <c r="H16" s="103"/>
      <c r="I16" s="1"/>
    </row>
    <row r="17" spans="1:9" x14ac:dyDescent="0.25">
      <c r="A17" s="1"/>
      <c r="B17" s="104" t="s">
        <v>78</v>
      </c>
      <c r="C17" s="105"/>
      <c r="D17" s="105"/>
      <c r="E17" s="105"/>
      <c r="F17" s="106"/>
      <c r="G17" s="24">
        <f>(G10+G12-G13)*(1+'Fane 13. Nøgletal'!C11)</f>
        <v>11109377.533325171</v>
      </c>
      <c r="H17" s="14" t="s">
        <v>3</v>
      </c>
      <c r="I17" s="1"/>
    </row>
    <row r="18" spans="1:9" x14ac:dyDescent="0.25">
      <c r="A18" s="1"/>
      <c r="B18" s="104" t="s">
        <v>148</v>
      </c>
      <c r="C18" s="105"/>
      <c r="D18" s="105"/>
      <c r="E18" s="105"/>
      <c r="F18" s="106"/>
      <c r="G18" s="24">
        <v>-20488.338190929993</v>
      </c>
      <c r="H18" s="14" t="s">
        <v>3</v>
      </c>
      <c r="I18" s="1"/>
    </row>
    <row r="19" spans="1:9" x14ac:dyDescent="0.25">
      <c r="A19" s="1"/>
      <c r="B19" s="107" t="s">
        <v>79</v>
      </c>
      <c r="C19" s="108"/>
      <c r="D19" s="108"/>
      <c r="E19" s="108"/>
      <c r="F19" s="109"/>
      <c r="G19" s="24">
        <v>0</v>
      </c>
      <c r="H19" s="14" t="s">
        <v>3</v>
      </c>
      <c r="I19" s="1"/>
    </row>
    <row r="20" spans="1:9" x14ac:dyDescent="0.25">
      <c r="A20" s="1"/>
      <c r="B20" s="104" t="s">
        <v>80</v>
      </c>
      <c r="C20" s="105"/>
      <c r="D20" s="105"/>
      <c r="E20" s="105"/>
      <c r="F20" s="106"/>
      <c r="G20" s="24">
        <f>SUM(G17:G19)*'Fane 13. Nøgletal'!C20</f>
        <v>96473.335997667891</v>
      </c>
      <c r="H20" s="14" t="s">
        <v>3</v>
      </c>
      <c r="I20" s="1"/>
    </row>
    <row r="21" spans="1:9" x14ac:dyDescent="0.25">
      <c r="A21" s="1"/>
      <c r="B21" s="44"/>
      <c r="C21" s="45"/>
      <c r="D21" s="45"/>
      <c r="E21" s="45"/>
      <c r="F21" s="45"/>
      <c r="G21" s="45"/>
      <c r="H21" s="20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01" t="s">
        <v>81</v>
      </c>
      <c r="C23" s="102"/>
      <c r="D23" s="102"/>
      <c r="E23" s="102"/>
      <c r="F23" s="102"/>
      <c r="G23" s="102"/>
      <c r="H23" s="103"/>
      <c r="I23" s="1"/>
    </row>
    <row r="24" spans="1:9" x14ac:dyDescent="0.25">
      <c r="A24" s="1"/>
      <c r="B24" s="104" t="s">
        <v>82</v>
      </c>
      <c r="C24" s="105"/>
      <c r="D24" s="105"/>
      <c r="E24" s="105"/>
      <c r="F24" s="106"/>
      <c r="G24" s="24">
        <f>(SUM(G17:G19)-G20)*(1+'Fane 13. Nøgletal'!C11)</f>
        <v>11178187.687155981</v>
      </c>
      <c r="H24" s="14" t="s">
        <v>3</v>
      </c>
      <c r="I24" s="1"/>
    </row>
    <row r="25" spans="1:9" x14ac:dyDescent="0.25">
      <c r="A25" s="1"/>
      <c r="B25" s="107" t="s">
        <v>83</v>
      </c>
      <c r="C25" s="108"/>
      <c r="D25" s="108"/>
      <c r="E25" s="108"/>
      <c r="F25" s="109"/>
      <c r="G25" s="24">
        <v>28320.708207330004</v>
      </c>
      <c r="H25" s="14" t="s">
        <v>3</v>
      </c>
      <c r="I25" s="1"/>
    </row>
    <row r="26" spans="1:9" x14ac:dyDescent="0.25">
      <c r="A26" s="1"/>
      <c r="B26" s="104" t="s">
        <v>84</v>
      </c>
      <c r="C26" s="105"/>
      <c r="D26" s="105"/>
      <c r="E26" s="105"/>
      <c r="F26" s="106"/>
      <c r="G26" s="24">
        <f>G24*'Fane 13. Nøgletal'!C20+G25*'Fane 13. Nøgletal'!C21</f>
        <v>98054.540991345202</v>
      </c>
      <c r="H26" s="14" t="s">
        <v>3</v>
      </c>
      <c r="I26" s="1"/>
    </row>
    <row r="27" spans="1:9" x14ac:dyDescent="0.25">
      <c r="A27" s="1"/>
      <c r="B27" s="44"/>
      <c r="C27" s="45"/>
      <c r="D27" s="45"/>
      <c r="E27" s="45"/>
      <c r="F27" s="45"/>
      <c r="G27" s="45"/>
      <c r="H27" s="20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01" t="s">
        <v>219</v>
      </c>
      <c r="C29" s="102"/>
      <c r="D29" s="102"/>
      <c r="E29" s="102"/>
      <c r="F29" s="102"/>
      <c r="G29" s="102"/>
      <c r="H29" s="103"/>
      <c r="I29" s="1"/>
    </row>
    <row r="30" spans="1:9" x14ac:dyDescent="0.25">
      <c r="A30" s="1"/>
      <c r="B30" s="104" t="s">
        <v>85</v>
      </c>
      <c r="C30" s="105"/>
      <c r="D30" s="105"/>
      <c r="E30" s="105"/>
      <c r="F30" s="106"/>
      <c r="G30" s="24">
        <f>(G24+G25-G26)*(1+'Fane 13. Nøgletal'!C13)</f>
        <v>11243976.991395302</v>
      </c>
      <c r="H30" s="14" t="s">
        <v>3</v>
      </c>
      <c r="I30" s="1"/>
    </row>
    <row r="31" spans="1:9" x14ac:dyDescent="0.25">
      <c r="A31" s="1"/>
      <c r="B31" s="104" t="s">
        <v>191</v>
      </c>
      <c r="C31" s="105"/>
      <c r="D31" s="105"/>
      <c r="E31" s="105"/>
      <c r="F31" s="106"/>
      <c r="G31" s="24">
        <f>SUM('Fane 2.1. Økonomisk ramme 2021'!C11,'Fane 2.1. Økonomisk ramme 2021'!C13,'Fane 2.1. Økonomisk ramme 2021'!C15)*(1+'Fane 13. Nøgletal'!C13)</f>
        <v>1548365.0075923679</v>
      </c>
      <c r="H31" s="14" t="s">
        <v>3</v>
      </c>
      <c r="I31" s="1"/>
    </row>
    <row r="32" spans="1:9" x14ac:dyDescent="0.25">
      <c r="A32" s="1"/>
      <c r="B32" s="104" t="s">
        <v>220</v>
      </c>
      <c r="C32" s="105"/>
      <c r="D32" s="105"/>
      <c r="E32" s="105"/>
      <c r="F32" s="106"/>
      <c r="G32" s="24">
        <f>(G30+G31)*'Fane 13. Nøgletal'!C22</f>
        <v>351789.40497216093</v>
      </c>
      <c r="H32" s="14" t="s">
        <v>3</v>
      </c>
      <c r="I32" s="1"/>
    </row>
    <row r="33" spans="1:9" x14ac:dyDescent="0.25">
      <c r="A33" s="1"/>
      <c r="B33" s="44"/>
      <c r="C33" s="45"/>
      <c r="D33" s="45"/>
      <c r="E33" s="45"/>
      <c r="F33" s="45"/>
      <c r="G33" s="45"/>
      <c r="H33" s="20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01" t="s">
        <v>224</v>
      </c>
      <c r="C35" s="102"/>
      <c r="D35" s="102"/>
      <c r="E35" s="102"/>
      <c r="F35" s="102"/>
      <c r="G35" s="102"/>
      <c r="H35" s="103"/>
      <c r="I35" s="1"/>
    </row>
    <row r="36" spans="1:9" x14ac:dyDescent="0.25">
      <c r="A36" s="1"/>
      <c r="B36" s="104" t="s">
        <v>88</v>
      </c>
      <c r="C36" s="105"/>
      <c r="D36" s="105"/>
      <c r="E36" s="105"/>
      <c r="F36" s="106"/>
      <c r="G36" s="24">
        <f>(G30+G31-G32)*(1+'Fane 13. Nøgletal'!C13)</f>
        <v>12592327.335662499</v>
      </c>
      <c r="H36" s="14" t="s">
        <v>3</v>
      </c>
      <c r="I36" s="1"/>
    </row>
    <row r="37" spans="1:9" x14ac:dyDescent="0.25">
      <c r="A37" s="1"/>
      <c r="B37" s="104" t="s">
        <v>107</v>
      </c>
      <c r="C37" s="105"/>
      <c r="D37" s="105"/>
      <c r="E37" s="105"/>
      <c r="F37" s="106"/>
      <c r="G37" s="24">
        <f>-'Fane 11. Bortfald'!E19*(1+'Fane 13. Nøgletal'!C13)</f>
        <v>0</v>
      </c>
      <c r="H37" s="14" t="s">
        <v>3</v>
      </c>
      <c r="I37" s="1"/>
    </row>
    <row r="38" spans="1:9" x14ac:dyDescent="0.25">
      <c r="A38" s="1"/>
      <c r="B38" s="104" t="s">
        <v>225</v>
      </c>
      <c r="C38" s="105"/>
      <c r="D38" s="105"/>
      <c r="E38" s="105"/>
      <c r="F38" s="106"/>
      <c r="G38" s="24">
        <f>(G36+G37)*'Fane 13. Nøgletal'!C22</f>
        <v>346289.00173071871</v>
      </c>
      <c r="H38" s="14" t="s">
        <v>3</v>
      </c>
      <c r="I38" s="1"/>
    </row>
    <row r="39" spans="1:9" x14ac:dyDescent="0.25">
      <c r="A39" s="1"/>
      <c r="B39" s="44"/>
      <c r="C39" s="45"/>
      <c r="D39" s="45"/>
      <c r="E39" s="45"/>
      <c r="F39" s="45"/>
      <c r="G39" s="45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01" t="s">
        <v>92</v>
      </c>
      <c r="C41" s="102"/>
      <c r="D41" s="102"/>
      <c r="E41" s="102"/>
      <c r="F41" s="102"/>
      <c r="G41" s="102"/>
      <c r="H41" s="103"/>
      <c r="I41" s="1"/>
    </row>
    <row r="42" spans="1:9" x14ac:dyDescent="0.25">
      <c r="A42" s="1"/>
      <c r="B42" s="104" t="s">
        <v>87</v>
      </c>
      <c r="C42" s="105"/>
      <c r="D42" s="105"/>
      <c r="E42" s="105"/>
      <c r="F42" s="106"/>
      <c r="G42" s="24">
        <f>(G36+G37-G38)*(1+'Fane 13. Nøgletal'!C13)</f>
        <v>12395440.001605747</v>
      </c>
      <c r="H42" s="14" t="s">
        <v>3</v>
      </c>
      <c r="I42" s="1"/>
    </row>
    <row r="43" spans="1:9" x14ac:dyDescent="0.25">
      <c r="A43" s="1"/>
      <c r="B43" s="104" t="s">
        <v>108</v>
      </c>
      <c r="C43" s="105"/>
      <c r="D43" s="105"/>
      <c r="E43" s="105"/>
      <c r="F43" s="106"/>
      <c r="G43" s="24">
        <f>-'Fane 11. Bortfald'!E26*(1+'Fane 13. Nøgletal'!C13)</f>
        <v>0</v>
      </c>
      <c r="H43" s="14" t="s">
        <v>3</v>
      </c>
      <c r="I43" s="1"/>
    </row>
    <row r="44" spans="1:9" x14ac:dyDescent="0.25">
      <c r="A44" s="1"/>
      <c r="B44" s="104" t="s">
        <v>86</v>
      </c>
      <c r="C44" s="105"/>
      <c r="D44" s="105"/>
      <c r="E44" s="105"/>
      <c r="F44" s="106"/>
      <c r="G44" s="24">
        <f>(G42+G43)*'Fane 13. Nøgletal'!C22</f>
        <v>340874.60004415805</v>
      </c>
      <c r="H44" s="14" t="s">
        <v>3</v>
      </c>
      <c r="I44" s="1"/>
    </row>
    <row r="45" spans="1:9" x14ac:dyDescent="0.25">
      <c r="A45" s="1"/>
      <c r="B45" s="44"/>
      <c r="C45" s="45"/>
      <c r="D45" s="45"/>
      <c r="E45" s="45"/>
      <c r="F45" s="45"/>
      <c r="G45" s="45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01" t="s">
        <v>192</v>
      </c>
      <c r="C47" s="102"/>
      <c r="D47" s="102"/>
      <c r="E47" s="102"/>
      <c r="F47" s="102"/>
      <c r="G47" s="102"/>
      <c r="H47" s="103"/>
      <c r="I47" s="1"/>
    </row>
    <row r="48" spans="1:9" x14ac:dyDescent="0.25">
      <c r="A48" s="1"/>
      <c r="B48" s="104" t="s">
        <v>193</v>
      </c>
      <c r="C48" s="105"/>
      <c r="D48" s="105"/>
      <c r="E48" s="105"/>
      <c r="F48" s="106"/>
      <c r="G48" s="24">
        <f>(G42+G43-G44)*(1+'Fane 13. Nøgletal'!C13)</f>
        <v>12201631.099460641</v>
      </c>
      <c r="H48" s="14" t="s">
        <v>3</v>
      </c>
      <c r="I48" s="1"/>
    </row>
    <row r="49" spans="1:9" x14ac:dyDescent="0.25">
      <c r="A49" s="1"/>
      <c r="B49" s="104" t="s">
        <v>194</v>
      </c>
      <c r="C49" s="105"/>
      <c r="D49" s="105"/>
      <c r="E49" s="105"/>
      <c r="F49" s="106"/>
      <c r="G49" s="24">
        <f>-'Fane 11. Bortfald'!E33*(1+'Fane 13. Nøgletal'!C13)</f>
        <v>0</v>
      </c>
      <c r="H49" s="14" t="s">
        <v>3</v>
      </c>
      <c r="I49" s="1"/>
    </row>
    <row r="50" spans="1:9" x14ac:dyDescent="0.25">
      <c r="A50" s="1"/>
      <c r="B50" s="104" t="s">
        <v>195</v>
      </c>
      <c r="C50" s="105"/>
      <c r="D50" s="105"/>
      <c r="E50" s="105"/>
      <c r="F50" s="106"/>
      <c r="G50" s="24">
        <f>(G48+G49)*'Fane 13. Nøgletal'!C22</f>
        <v>335544.8552351676</v>
      </c>
      <c r="H50" s="14" t="s">
        <v>3</v>
      </c>
      <c r="I50" s="1"/>
    </row>
    <row r="51" spans="1:9" ht="12.75" customHeight="1" x14ac:dyDescent="0.25">
      <c r="A51" s="1"/>
      <c r="B51" s="44"/>
      <c r="C51" s="45"/>
      <c r="D51" s="45"/>
      <c r="E51" s="45"/>
      <c r="F51" s="45"/>
      <c r="G51" s="45"/>
      <c r="H51" s="20"/>
      <c r="I51" s="1"/>
    </row>
  </sheetData>
  <sheetProtection algorithmName="SHA-512" hashValue="t4eS2n6/MOfaRvDubFx0QCDSplkEiVrbcZDmii0koQNwnft9mpCusAfVCZpp9/4G+FfVLb1FUD/ic3RP+aC1WQ==" saltValue="hMJ4aC2kQEUlshJ+E1VPbg==" spinCount="100000" sheet="1" objects="1" scenarios="1"/>
  <mergeCells count="33">
    <mergeCell ref="B2:H2"/>
    <mergeCell ref="B36:F36"/>
    <mergeCell ref="B44:F44"/>
    <mergeCell ref="B20:F20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9:F19"/>
    <mergeCell ref="B31:F31"/>
    <mergeCell ref="B18:F18"/>
    <mergeCell ref="B47:H47"/>
    <mergeCell ref="B48:F48"/>
    <mergeCell ref="B49:F49"/>
    <mergeCell ref="B50:F50"/>
    <mergeCell ref="B37:F37"/>
    <mergeCell ref="B43:F43"/>
    <mergeCell ref="B42:F42"/>
    <mergeCell ref="B41:H41"/>
    <mergeCell ref="B38:F38"/>
    <mergeCell ref="B29:H29"/>
    <mergeCell ref="B30:F30"/>
    <mergeCell ref="B32:F32"/>
    <mergeCell ref="B35:H35"/>
    <mergeCell ref="B23:H23"/>
    <mergeCell ref="B24:F24"/>
    <mergeCell ref="B25:F25"/>
    <mergeCell ref="B26:F2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101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01" t="s">
        <v>9</v>
      </c>
      <c r="C8" s="102"/>
      <c r="D8" s="102"/>
      <c r="E8" s="102"/>
      <c r="F8" s="102"/>
      <c r="G8" s="102"/>
      <c r="H8" s="103"/>
      <c r="I8" s="1"/>
    </row>
    <row r="9" spans="1:9" x14ac:dyDescent="0.25">
      <c r="A9" s="1"/>
      <c r="B9" s="104" t="s">
        <v>124</v>
      </c>
      <c r="C9" s="105"/>
      <c r="D9" s="105"/>
      <c r="E9" s="105"/>
      <c r="F9" s="106"/>
      <c r="G9" s="23">
        <v>0</v>
      </c>
      <c r="H9" s="14"/>
      <c r="I9" s="1"/>
    </row>
    <row r="10" spans="1:9" x14ac:dyDescent="0.25">
      <c r="A10" s="1"/>
      <c r="B10" s="104" t="s">
        <v>180</v>
      </c>
      <c r="C10" s="105"/>
      <c r="D10" s="105"/>
      <c r="E10" s="105"/>
      <c r="F10" s="106"/>
      <c r="G10" s="23">
        <v>5.1753186484176667E-4</v>
      </c>
      <c r="H10" s="14"/>
      <c r="I10" s="1"/>
    </row>
    <row r="11" spans="1:9" x14ac:dyDescent="0.25">
      <c r="A11" s="1"/>
      <c r="B11" s="44"/>
      <c r="C11" s="45"/>
      <c r="D11" s="45"/>
      <c r="E11" s="45"/>
      <c r="F11" s="45"/>
      <c r="G11" s="45"/>
      <c r="H11" s="20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25">
      <c r="A13" s="18"/>
      <c r="B13" s="111" t="s">
        <v>226</v>
      </c>
      <c r="C13" s="111"/>
      <c r="D13" s="111"/>
      <c r="E13" s="111"/>
      <c r="F13" s="111"/>
      <c r="G13" s="111"/>
      <c r="H13" s="111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9dlzfuefIIou1m2YjDYd/wUo22nP6zqRmKMhDhxOw8NqBedV2hPDwebkssT7s2Kx4eONB00y6Wemenhj3FquqQ==" saltValue="cflD+nxODABHUqDsfTYL5w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12.1. Uhjemlet rentepost</vt:lpstr>
      <vt:lpstr>Fane 12.2. Uhjemlet rentepost</vt:lpstr>
      <vt:lpstr>Fane 13.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Anna Gammelby</cp:lastModifiedBy>
  <cp:lastPrinted>2016-06-14T12:57:30Z</cp:lastPrinted>
  <dcterms:created xsi:type="dcterms:W3CDTF">2016-06-02T08:51:18Z</dcterms:created>
  <dcterms:modified xsi:type="dcterms:W3CDTF">2020-10-30T15:12:54Z</dcterms:modified>
</cp:coreProperties>
</file>