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Ikast-Brande Spildevand AS (S052)\ØR2021\"/>
    </mc:Choice>
  </mc:AlternateContent>
  <bookViews>
    <workbookView xWindow="3120" yWindow="990" windowWidth="12750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2" i="20" l="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25" i="11" l="1"/>
  <c r="E26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27" i="11" l="1"/>
  <c r="C10" i="37" s="1"/>
  <c r="C13" i="37" s="1"/>
  <c r="G27" i="11"/>
  <c r="C14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27" i="11"/>
  <c r="E10" i="37" s="1"/>
  <c r="E13" i="37" s="1"/>
  <c r="E14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<sst xmlns="http://schemas.openxmlformats.org/spreadsheetml/2006/main" count="741" uniqueCount="286">
  <si>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</si>
  <si>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</si>
  <si>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</si>
  <si>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</si>
  <si>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</si>
  <si>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</si>
  <si>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</si>
  <si>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</si>
  <si>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</si>
  <si>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</si>
  <si>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</si>
  <si>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</si>
  <si>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</si>
  <si>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</si>
  <si>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</si>
  <si>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</si>
  <si>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</si>
  <si>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</si>
  <si>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</si>
  <si>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</si>
  <si>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</si>
  <si>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</si>
  <si>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</si>
  <si>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</si>
  <si>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</si>
  <si>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</si>
  <si>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</si>
  <si>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</si>
  <si>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</si>
  <si>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</si>
  <si>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</si>
  <si>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</si>
  <si>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</si>
  <si>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</si>
  <si>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</si>
  <si>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</si>
  <si>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</si>
  <si>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</si>
  <si>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</si>
  <si>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</si>
  <si>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</si>
  <si>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</si>
  <si>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</si>
  <si>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</si>
  <si>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</si>
  <si>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</si>
  <si>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</si>
  <si>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</si>
  <si>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</si>
  <si>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</si>
  <si>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</si>
  <si>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</si>
  <si>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</si>
  <si>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</si>
  <si>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</si>
  <si>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</si>
  <si>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</si>
  <si>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</si>
  <si>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</si>
  <si>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</si>
  <si>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</si>
  <si>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</si>
  <si>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</si>
  <si>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</si>
  <si>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</si>
  <si>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</si>
  <si>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</si>
  <si>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</si>
  <si>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</si>
  <si>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</si>
  <si>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</si>
  <si>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</si>
  <si>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</si>
  <si>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</si>
  <si>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</si>
  <si>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</si>
  <si>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</si>
  <si>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</si>
  <si>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</si>
  <si>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</si>
  <si>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</si>
  <si>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</si>
  <si>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</si>
  <si>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</si>
  <si>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</si>
  <si>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</si>
  <si>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</si>
  <si>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</si>
  <si>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</si>
  <si>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</si>
  <si>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</si>
  <si>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</si>
  <si>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</si>
  <si>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</si>
  <si>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</si>
  <si>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</si>
  <si>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</si>
  <si>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</si>
  <si>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</si>
  <si>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</si>
  <si>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</si>
  <si>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</si>
  <si>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</si>
  <si>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</si>
  <si>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</si>
  <si>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</si>
  <si>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</si>
  <si>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</si>
  <si>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</si>
  <si>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</si>
  <si>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</si>
  <si>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</si>
  <si>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</si>
  <si>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</si>
  <si>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</si>
  <si>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</si>
  <si>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</si>
  <si>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</si>
  <si>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</si>
  <si>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</si>
  <si>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</si>
  <si>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</si>
  <si>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</si>
  <si>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</si>
  <si>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</si>
  <si>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</si>
  <si>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</si>
  <si>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</si>
  <si>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</si>
  <si>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</si>
  <si>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</si>
  <si>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</si>
  <si>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</si>
  <si>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</si>
  <si>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</si>
  <si>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</si>
  <si>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</si>
  <si>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</si>
  <si>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</si>
  <si>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</si>
  <si>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</si>
  <si>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</si>
  <si>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</si>
  <si>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</si>
  <si>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</si>
  <si>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</si>
  <si>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</si>
  <si>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</si>
  <si>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</si>
  <si>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</si>
  <si>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</si>
  <si>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</si>
  <si>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</si>
  <si>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</si>
  <si>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</si>
  <si>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</si>
  <si>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</si>
  <si>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</si>
  <si>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</si>
  <si>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</si>
  <si>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</si>
  <si>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</si>
  <si>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</si>
  <si>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</si>
  <si>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</si>
  <si>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</si>
  <si>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</si>
  <si>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</si>
  <si>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</si>
  <si>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</si>
  <si>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</si>
  <si>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</si>
  <si>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</si>
  <si>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</si>
  <si>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</si>
  <si>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</si>
  <si>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</si>
  <si>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</si>
  <si>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</si>
  <si>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</si>
  <si>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</si>
  <si>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</si>
  <si>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</si>
  <si>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</si>
  <si>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</si>
  <si>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</si>
  <si>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</si>
  <si>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</si>
  <si>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</si>
  <si>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</si>
  <si>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</si>
  <si>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</si>
  <si>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</si>
  <si>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</si>
  <si>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</si>
  <si>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</si>
  <si>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</si>
  <si>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</si>
  <si>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</si>
  <si>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</si>
  <si>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</si>
  <si>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</si>
  <si>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</si>
  <si>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</si>
  <si>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</si>
  <si>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</si>
  <si>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</si>
  <si>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</si>
  <si>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</si>
  <si>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</si>
  <si>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</si>
  <si>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</si>
  <si>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</si>
  <si>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</si>
  <si>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</si>
  <si>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</si>
  <si>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</si>
  <si>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</si>
  <si>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</si>
  <si>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</si>
  <si>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</si>
  <si>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</si>
  <si>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</si>
  <si>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</si>
  <si>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</si>
  <si>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</si>
  <si>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</si>
  <si>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</si>
  <si>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</si>
  <si>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</si>
  <si>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</si>
  <si>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</si>
  <si>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</si>
  <si>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</si>
  <si>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</si>
  <si>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</si>
  <si>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</si>
  <si>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</si>
  <si>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</si>
  <si>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</si>
  <si>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</si>
  <si>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</si>
  <si>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</si>
  <si>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</si>
  <si>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</si>
  <si>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</si>
  <si>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</si>
  <si>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</si>
  <si>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</si>
  <si>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</si>
  <si>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</si>
  <si>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</si>
  <si>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</si>
  <si>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</si>
  <si>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</si>
  <si>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</si>
  <si>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</si>
  <si>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</si>
  <si>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</si>
  <si>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</si>
  <si>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</si>
  <si>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</si>
  <si>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</si>
  <si>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</si>
  <si>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</si>
  <si>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</si>
  <si>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</si>
  <si>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</si>
  <si>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</si>
  <si>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</si>
  <si>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</si>
  <si>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</si>
  <si>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Ingen engangstillæg</t>
  </si>
  <si>
    <t>Flytning af ledning og pumpestation</t>
  </si>
  <si>
    <t>Byggemodninger</t>
  </si>
  <si>
    <t>Periodevise driftsomkostninger i alt i 2018-prisniveau</t>
  </si>
  <si>
    <t>Yderligere opkrævningsret efter § 17, stk. 10 - 2017</t>
  </si>
  <si>
    <t>Yderligere opkrævningsret efter § 17, stk. 10 - 2018</t>
  </si>
  <si>
    <t>Ledningsnet ≤ Ø 200 mm</t>
  </si>
  <si>
    <t>75</t>
  </si>
  <si>
    <t>Ø 200 mm &lt; Ledningsnet ≤ Ø 500 mm</t>
  </si>
  <si>
    <t>Brønde</t>
  </si>
  <si>
    <t>Strømpeforing ≤ Ø 200 mm</t>
  </si>
  <si>
    <t>50</t>
  </si>
  <si>
    <t>Strømpeforing Ø 200 mm &lt; Ledningsnet ≤ Ø 500 mm</t>
  </si>
  <si>
    <t>Ø 500 mm &lt; Ledningsnet ≤ Ø 800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</si>
</sst>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0" borderId="1" xfId="0" applyFont="1" applyFill="1" applyBorder="1" applyProtection="1"/>
    <xf numFmtId="3" fontId="8" fillId="0" borderId="1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0" borderId="2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226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43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254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41</v>
      </c>
      <c r="D15" s="68" t="s">
        <v>107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42</v>
      </c>
      <c r="D16" s="68" t="s">
        <v>214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180</v>
      </c>
      <c r="D17" s="68" t="s">
        <v>215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157</v>
      </c>
      <c r="D18" s="65" t="s">
        <v>135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158</v>
      </c>
      <c r="D19" s="65" t="s">
        <v>136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159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111</v>
      </c>
      <c r="D22" s="59" t="s">
        <v>255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184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44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160</v>
      </c>
      <c r="D25" s="59" t="s">
        <v>112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161</v>
      </c>
      <c r="D26" s="59" t="s">
        <v>113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162</v>
      </c>
      <c r="D27" s="59" t="s">
        <v>114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16</v>
      </c>
      <c r="D28" s="59" t="s">
        <v>216</v>
      </c>
      <c r="E28" s="60"/>
      <c r="F28" s="60"/>
      <c r="G28" s="61"/>
      <c r="H28" s="1"/>
      <c r="I28" s="1"/>
    </row>
    <row r="29" spans="1:9" x14ac:dyDescent="0.25">
      <c r="A29" s="1"/>
      <c r="B29" s="1"/>
      <c r="C29" s="6" t="s">
        <v>46</v>
      </c>
      <c r="D29" s="59" t="s">
        <v>45</v>
      </c>
      <c r="E29" s="60"/>
      <c r="F29" s="60"/>
      <c r="G29" s="61"/>
      <c r="H29" s="1"/>
      <c r="I29" s="1"/>
    </row>
    <row r="30" spans="1:9" x14ac:dyDescent="0.25">
      <c r="A30" s="1"/>
      <c r="B30" s="1"/>
      <c r="C30" s="6" t="s">
        <v>47</v>
      </c>
      <c r="D30" s="62" t="s">
        <v>155</v>
      </c>
      <c r="E30" s="63"/>
      <c r="F30" s="63"/>
      <c r="G30" s="6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7" t="s">
        <v>165</v>
      </c>
      <c r="C3" s="77"/>
      <c r="D3" s="77"/>
      <c r="E3" s="1"/>
      <c r="F3" s="1"/>
    </row>
    <row r="4" spans="1:6" ht="15" customHeight="1" x14ac:dyDescent="0.25">
      <c r="A4" s="1"/>
      <c r="B4" s="77"/>
      <c r="C4" s="77"/>
      <c r="D4" s="7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196</v>
      </c>
      <c r="C8" s="92"/>
      <c r="D8" s="93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6" t="s">
        <v>265</v>
      </c>
      <c r="C10" s="9">
        <v>1223359</v>
      </c>
      <c r="D10" s="14" t="s">
        <v>3</v>
      </c>
      <c r="E10" s="1"/>
      <c r="F10" s="1"/>
    </row>
    <row r="11" spans="1:6" ht="15" customHeight="1" x14ac:dyDescent="0.25">
      <c r="A11" s="1"/>
      <c r="B11" s="56" t="s">
        <v>266</v>
      </c>
      <c r="C11" s="9">
        <v>73475</v>
      </c>
      <c r="D11" s="14" t="s">
        <v>3</v>
      </c>
      <c r="E11" s="1"/>
      <c r="F11" s="1"/>
    </row>
    <row r="12" spans="1:6" x14ac:dyDescent="0.25">
      <c r="A12" s="1"/>
      <c r="B12" s="56" t="s">
        <v>267</v>
      </c>
      <c r="C12" s="9">
        <v>219953</v>
      </c>
      <c r="D12" s="14" t="s">
        <v>3</v>
      </c>
      <c r="E12" s="1"/>
      <c r="F12" s="1"/>
    </row>
    <row r="13" spans="1:6" x14ac:dyDescent="0.25">
      <c r="A13" s="1"/>
      <c r="B13" s="56" t="s">
        <v>268</v>
      </c>
      <c r="C13" s="9">
        <v>96132</v>
      </c>
      <c r="D13" s="14" t="s">
        <v>3</v>
      </c>
      <c r="E13" s="1"/>
      <c r="F13" s="1"/>
    </row>
    <row r="14" spans="1:6" x14ac:dyDescent="0.25">
      <c r="A14" s="1"/>
      <c r="B14" s="56" t="s">
        <v>269</v>
      </c>
      <c r="C14" s="9">
        <v>121273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1734192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1776764.4019372801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1" t="s">
        <v>178</v>
      </c>
      <c r="C19" s="92"/>
      <c r="D19" s="93"/>
      <c r="E19" s="1"/>
      <c r="F19" s="1"/>
    </row>
    <row r="20" spans="1:6" x14ac:dyDescent="0.25">
      <c r="A20" s="1"/>
      <c r="B20" s="56" t="s">
        <v>147</v>
      </c>
      <c r="C20" s="9">
        <v>407366</v>
      </c>
      <c r="D20" s="14" t="s">
        <v>3</v>
      </c>
      <c r="E20" s="1"/>
      <c r="F20" s="1"/>
    </row>
    <row r="21" spans="1:6" x14ac:dyDescent="0.25">
      <c r="A21" s="1"/>
      <c r="B21" s="56" t="s">
        <v>148</v>
      </c>
      <c r="C21" s="9">
        <v>407366</v>
      </c>
      <c r="D21" s="14" t="s">
        <v>3</v>
      </c>
      <c r="E21" s="1"/>
      <c r="F21" s="1"/>
    </row>
    <row r="22" spans="1:6" x14ac:dyDescent="0.25">
      <c r="A22" s="1"/>
      <c r="B22" s="56" t="s">
        <v>149</v>
      </c>
      <c r="C22" s="9">
        <v>407366</v>
      </c>
      <c r="D22" s="14" t="s">
        <v>3</v>
      </c>
      <c r="E22" s="1"/>
      <c r="F22" s="1"/>
    </row>
    <row r="23" spans="1:6" x14ac:dyDescent="0.25">
      <c r="A23" s="1"/>
      <c r="B23" s="56" t="s">
        <v>200</v>
      </c>
      <c r="C23" s="9">
        <v>407366</v>
      </c>
      <c r="D23" s="14" t="s">
        <v>3</v>
      </c>
      <c r="E23" s="1"/>
      <c r="F23" s="1"/>
    </row>
    <row r="24" spans="1:6" x14ac:dyDescent="0.25">
      <c r="A24" s="1"/>
      <c r="B24" s="91"/>
      <c r="C24" s="92"/>
      <c r="D24" s="93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1" t="s">
        <v>146</v>
      </c>
      <c r="C27" s="92"/>
      <c r="D27" s="93"/>
      <c r="E27" s="1"/>
      <c r="F27" s="1"/>
    </row>
    <row r="28" spans="1:6" x14ac:dyDescent="0.25">
      <c r="A28" s="1"/>
      <c r="B28" s="56" t="s">
        <v>147</v>
      </c>
      <c r="C28" s="9">
        <v>1109313</v>
      </c>
      <c r="D28" s="14" t="s">
        <v>3</v>
      </c>
      <c r="E28" s="1"/>
      <c r="F28" s="1"/>
    </row>
    <row r="29" spans="1:6" x14ac:dyDescent="0.25">
      <c r="A29" s="1"/>
      <c r="B29" s="56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6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6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1"/>
      <c r="C32" s="92"/>
      <c r="D32" s="93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256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137</v>
      </c>
      <c r="C8" s="92"/>
      <c r="D8" s="92"/>
      <c r="E8" s="92"/>
      <c r="F8" s="93"/>
      <c r="G8" s="1"/>
    </row>
    <row r="9" spans="1:7" x14ac:dyDescent="0.25">
      <c r="A9" s="1"/>
      <c r="B9" s="94" t="s">
        <v>138</v>
      </c>
      <c r="C9" s="95"/>
      <c r="D9" s="96"/>
      <c r="E9" s="9">
        <v>79839450.342766389</v>
      </c>
      <c r="F9" s="14" t="s">
        <v>3</v>
      </c>
      <c r="G9" s="1"/>
    </row>
    <row r="10" spans="1:7" x14ac:dyDescent="0.25">
      <c r="A10" s="1"/>
      <c r="B10" s="94" t="s">
        <v>139</v>
      </c>
      <c r="C10" s="95"/>
      <c r="D10" s="96"/>
      <c r="E10" s="9">
        <v>57810918</v>
      </c>
      <c r="F10" s="14" t="s">
        <v>3</v>
      </c>
      <c r="G10" s="1"/>
    </row>
    <row r="11" spans="1:7" x14ac:dyDescent="0.25">
      <c r="A11" s="1"/>
      <c r="B11" s="94" t="s">
        <v>40</v>
      </c>
      <c r="C11" s="95"/>
      <c r="D11" s="96"/>
      <c r="E11" s="9">
        <v>149455</v>
      </c>
      <c r="F11" s="14" t="s">
        <v>3</v>
      </c>
      <c r="G11" s="1"/>
    </row>
    <row r="12" spans="1:7" x14ac:dyDescent="0.25">
      <c r="A12" s="1"/>
      <c r="B12" s="84" t="s">
        <v>140</v>
      </c>
      <c r="C12" s="85"/>
      <c r="D12" s="103"/>
      <c r="E12" s="10">
        <f>E9-(E10-E11)</f>
        <v>22177987.342766389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9" t="s">
        <v>156</v>
      </c>
      <c r="C14" s="80"/>
      <c r="D14" s="80"/>
      <c r="E14" s="80"/>
      <c r="F14" s="81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52</v>
      </c>
      <c r="C16" s="92"/>
      <c r="D16" s="92"/>
      <c r="E16" s="92"/>
      <c r="F16" s="93"/>
      <c r="G16" s="1"/>
    </row>
    <row r="17" spans="1:7" x14ac:dyDescent="0.25">
      <c r="A17" s="1"/>
      <c r="B17" s="94" t="s">
        <v>53</v>
      </c>
      <c r="C17" s="95"/>
      <c r="D17" s="96"/>
      <c r="E17" s="9">
        <v>77194557.693242073</v>
      </c>
      <c r="F17" s="14" t="s">
        <v>3</v>
      </c>
      <c r="G17" s="1"/>
    </row>
    <row r="18" spans="1:7" x14ac:dyDescent="0.25">
      <c r="A18" s="1"/>
      <c r="B18" s="94" t="s">
        <v>54</v>
      </c>
      <c r="C18" s="95"/>
      <c r="D18" s="96"/>
      <c r="E18" s="9">
        <v>69543834</v>
      </c>
      <c r="F18" s="14" t="s">
        <v>3</v>
      </c>
      <c r="G18" s="1"/>
    </row>
    <row r="19" spans="1:7" x14ac:dyDescent="0.25">
      <c r="A19" s="1"/>
      <c r="B19" s="94" t="s">
        <v>40</v>
      </c>
      <c r="C19" s="95"/>
      <c r="D19" s="96"/>
      <c r="E19" s="9">
        <v>150000</v>
      </c>
      <c r="F19" s="14" t="s">
        <v>3</v>
      </c>
      <c r="G19" s="1"/>
    </row>
    <row r="20" spans="1:7" x14ac:dyDescent="0.25">
      <c r="A20" s="1"/>
      <c r="B20" s="84" t="s">
        <v>55</v>
      </c>
      <c r="C20" s="85"/>
      <c r="D20" s="103"/>
      <c r="E20" s="10">
        <f>E17-(E18-E19)</f>
        <v>7800723.6932420731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9" t="s">
        <v>218</v>
      </c>
      <c r="C22" s="80"/>
      <c r="D22" s="80"/>
      <c r="E22" s="80"/>
      <c r="F22" s="81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245</v>
      </c>
      <c r="C24" s="92"/>
      <c r="D24" s="92"/>
      <c r="E24" s="92"/>
      <c r="F24" s="93"/>
      <c r="G24" s="1"/>
    </row>
    <row r="25" spans="1:7" x14ac:dyDescent="0.25">
      <c r="A25" s="1"/>
      <c r="B25" s="94" t="s">
        <v>246</v>
      </c>
      <c r="C25" s="95"/>
      <c r="D25" s="96"/>
      <c r="E25" s="9">
        <v>72779012.788521051</v>
      </c>
      <c r="F25" s="14" t="s">
        <v>3</v>
      </c>
      <c r="G25" s="1"/>
    </row>
    <row r="26" spans="1:7" x14ac:dyDescent="0.25">
      <c r="A26" s="1"/>
      <c r="B26" s="94" t="s">
        <v>247</v>
      </c>
      <c r="C26" s="95"/>
      <c r="D26" s="96"/>
      <c r="E26" s="9">
        <v>70931531</v>
      </c>
      <c r="F26" s="14" t="s">
        <v>3</v>
      </c>
      <c r="G26" s="1"/>
    </row>
    <row r="27" spans="1:7" x14ac:dyDescent="0.25">
      <c r="A27" s="1"/>
      <c r="B27" s="94" t="s">
        <v>40</v>
      </c>
      <c r="C27" s="95"/>
      <c r="D27" s="96"/>
      <c r="E27" s="9">
        <v>598500</v>
      </c>
      <c r="F27" s="14" t="s">
        <v>3</v>
      </c>
      <c r="G27" s="1"/>
    </row>
    <row r="28" spans="1:7" x14ac:dyDescent="0.25">
      <c r="A28" s="1"/>
      <c r="B28" s="84" t="s">
        <v>248</v>
      </c>
      <c r="C28" s="85"/>
      <c r="D28" s="103"/>
      <c r="E28" s="10">
        <f>E25-(E26-E27)</f>
        <v>2445981.7885210514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1" t="s">
        <v>250</v>
      </c>
      <c r="C31" s="92"/>
      <c r="D31" s="92"/>
      <c r="E31" s="92"/>
      <c r="F31" s="93"/>
      <c r="G31" s="1"/>
    </row>
    <row r="32" spans="1:7" x14ac:dyDescent="0.25">
      <c r="A32" s="1"/>
      <c r="B32" s="84" t="s">
        <v>251</v>
      </c>
      <c r="C32" s="85"/>
      <c r="D32" s="103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1"/>
      <c r="C33" s="92"/>
      <c r="D33" s="92"/>
      <c r="E33" s="92"/>
      <c r="F33" s="93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1" t="s">
        <v>249</v>
      </c>
      <c r="C35" s="92"/>
      <c r="D35" s="92"/>
      <c r="E35" s="92"/>
      <c r="F35" s="93"/>
      <c r="G35" s="1"/>
    </row>
    <row r="36" spans="1:7" x14ac:dyDescent="0.25">
      <c r="A36" s="1"/>
      <c r="B36" s="104" t="s">
        <v>276</v>
      </c>
      <c r="C36" s="105"/>
      <c r="D36" s="106"/>
      <c r="E36" s="48">
        <v>1</v>
      </c>
      <c r="F36" s="47"/>
      <c r="G36" s="1"/>
    </row>
    <row r="37" spans="1:7" x14ac:dyDescent="0.25">
      <c r="A37" s="1"/>
      <c r="B37" s="104" t="s">
        <v>277</v>
      </c>
      <c r="C37" s="105"/>
      <c r="D37" s="106"/>
      <c r="E37" s="48">
        <v>1</v>
      </c>
      <c r="F37" s="47"/>
      <c r="G37" s="1"/>
    </row>
    <row r="38" spans="1:7" x14ac:dyDescent="0.25">
      <c r="A38" s="1"/>
      <c r="B38" s="104" t="s">
        <v>252</v>
      </c>
      <c r="C38" s="105"/>
      <c r="D38" s="106"/>
      <c r="E38" s="48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47" t="s">
        <v>3</v>
      </c>
      <c r="G38" s="1"/>
    </row>
    <row r="39" spans="1:7" x14ac:dyDescent="0.25">
      <c r="A39" s="1"/>
      <c r="B39" s="104" t="s">
        <v>152</v>
      </c>
      <c r="C39" s="105"/>
      <c r="D39" s="106"/>
      <c r="E39" s="48">
        <v>2</v>
      </c>
      <c r="F39" s="47" t="s">
        <v>21</v>
      </c>
      <c r="G39" s="1"/>
    </row>
    <row r="40" spans="1:7" x14ac:dyDescent="0.25">
      <c r="A40" s="1"/>
      <c r="B40" s="110" t="s">
        <v>253</v>
      </c>
      <c r="C40" s="110"/>
      <c r="D40" s="110"/>
      <c r="E40" s="10">
        <f>E38/E39</f>
        <v>0</v>
      </c>
      <c r="F40" s="17" t="s">
        <v>3</v>
      </c>
      <c r="G40" s="1"/>
    </row>
    <row r="41" spans="1:7" x14ac:dyDescent="0.25">
      <c r="A41" s="1"/>
      <c r="B41" s="107"/>
      <c r="C41" s="108"/>
      <c r="D41" s="108"/>
      <c r="E41" s="108"/>
      <c r="F41" s="109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201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1" t="s">
        <v>202</v>
      </c>
      <c r="C9" s="92"/>
      <c r="D9" s="92"/>
      <c r="E9" s="92"/>
      <c r="F9" s="93"/>
      <c r="G9" s="1"/>
    </row>
    <row r="10" spans="1:7" x14ac:dyDescent="0.2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2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25">
      <c r="A12" s="1"/>
      <c r="B12" s="84" t="s">
        <v>151</v>
      </c>
      <c r="C12" s="85"/>
      <c r="D12" s="103"/>
      <c r="E12" s="10">
        <f>E11-E10</f>
        <v>0</v>
      </c>
      <c r="F12" s="11" t="s">
        <v>3</v>
      </c>
      <c r="G12" s="1"/>
    </row>
    <row r="13" spans="1:7" x14ac:dyDescent="0.25">
      <c r="A13" s="1"/>
      <c r="B13" s="91" t="s">
        <v>134</v>
      </c>
      <c r="C13" s="92"/>
      <c r="D13" s="92"/>
      <c r="E13" s="92"/>
      <c r="F13" s="93"/>
      <c r="G13" s="1"/>
    </row>
    <row r="14" spans="1:7" x14ac:dyDescent="0.25">
      <c r="A14" s="1"/>
      <c r="B14" s="94" t="s">
        <v>204</v>
      </c>
      <c r="C14" s="95"/>
      <c r="D14" s="96"/>
      <c r="E14" s="9">
        <v>407366</v>
      </c>
      <c r="F14" s="8" t="s">
        <v>3</v>
      </c>
      <c r="G14" s="1"/>
    </row>
    <row r="15" spans="1:7" x14ac:dyDescent="0.25">
      <c r="A15" s="1"/>
      <c r="B15" s="79" t="s">
        <v>205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84" t="s">
        <v>151</v>
      </c>
      <c r="C16" s="85"/>
      <c r="D16" s="103"/>
      <c r="E16" s="10">
        <f>E15-E14</f>
        <v>-407366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-407366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237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8" t="s">
        <v>278</v>
      </c>
      <c r="C10" s="114" t="s">
        <v>279</v>
      </c>
      <c r="D10" s="9">
        <v>590723</v>
      </c>
      <c r="E10" s="9">
        <f>IFERROR(D10/C10,0)</f>
        <v>7876.3066666666664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8" t="s">
        <v>280</v>
      </c>
      <c r="C11" s="114" t="s">
        <v>279</v>
      </c>
      <c r="D11" s="9">
        <v>1424901</v>
      </c>
      <c r="E11" s="9">
        <f t="shared" ref="E11:E24" si="0">IFERROR(D11/C11,0)</f>
        <v>18998.68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8" t="s">
        <v>281</v>
      </c>
      <c r="C12" s="114" t="s">
        <v>279</v>
      </c>
      <c r="D12" s="9">
        <v>934889</v>
      </c>
      <c r="E12" s="9">
        <f t="shared" si="0"/>
        <v>12465.186666666666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58" t="s">
        <v>282</v>
      </c>
      <c r="C13" s="114" t="s">
        <v>283</v>
      </c>
      <c r="D13" s="9">
        <v>314352</v>
      </c>
      <c r="E13" s="9">
        <f t="shared" si="0"/>
        <v>6287.04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8" t="s">
        <v>284</v>
      </c>
      <c r="C14" s="114" t="s">
        <v>283</v>
      </c>
      <c r="D14" s="9">
        <v>356528</v>
      </c>
      <c r="E14" s="9">
        <f t="shared" si="0"/>
        <v>7130.56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8" t="s">
        <v>278</v>
      </c>
      <c r="C15" s="114" t="s">
        <v>279</v>
      </c>
      <c r="D15" s="9">
        <v>126415</v>
      </c>
      <c r="E15" s="9">
        <f t="shared" si="0"/>
        <v>1685.5333333333333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8" t="s">
        <v>280</v>
      </c>
      <c r="C16" s="114" t="s">
        <v>279</v>
      </c>
      <c r="D16" s="9">
        <v>133076</v>
      </c>
      <c r="E16" s="9">
        <f t="shared" si="0"/>
        <v>1774.3466666666666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8" t="s">
        <v>281</v>
      </c>
      <c r="C17" s="114" t="s">
        <v>279</v>
      </c>
      <c r="D17" s="9">
        <v>134228</v>
      </c>
      <c r="E17" s="9">
        <f t="shared" si="0"/>
        <v>1789.7066666666667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8" t="s">
        <v>278</v>
      </c>
      <c r="C18" s="114" t="s">
        <v>279</v>
      </c>
      <c r="D18" s="9">
        <v>220293</v>
      </c>
      <c r="E18" s="9">
        <f t="shared" si="0"/>
        <v>2937.24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8" t="s">
        <v>280</v>
      </c>
      <c r="C19" s="114" t="s">
        <v>279</v>
      </c>
      <c r="D19" s="9">
        <v>486491</v>
      </c>
      <c r="E19" s="9">
        <f t="shared" si="0"/>
        <v>6486.5466666666671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8" t="s">
        <v>281</v>
      </c>
      <c r="C20" s="114" t="s">
        <v>279</v>
      </c>
      <c r="D20" s="9">
        <v>343653</v>
      </c>
      <c r="E20" s="9">
        <f t="shared" si="0"/>
        <v>4582.04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8" t="s">
        <v>282</v>
      </c>
      <c r="C21" s="114" t="s">
        <v>283</v>
      </c>
      <c r="D21" s="9">
        <v>263345</v>
      </c>
      <c r="E21" s="9">
        <f t="shared" si="0"/>
        <v>5266.9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58" t="s">
        <v>278</v>
      </c>
      <c r="C22" s="114" t="s">
        <v>279</v>
      </c>
      <c r="D22" s="9">
        <v>153070</v>
      </c>
      <c r="E22" s="9">
        <f t="shared" si="0"/>
        <v>2040.9333333333334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8" t="s">
        <v>280</v>
      </c>
      <c r="C23" s="114" t="s">
        <v>279</v>
      </c>
      <c r="D23" s="9">
        <v>160858</v>
      </c>
      <c r="E23" s="9">
        <f t="shared" si="0"/>
        <v>2144.7733333333335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8" t="s">
        <v>285</v>
      </c>
      <c r="C24" s="114" t="s">
        <v>279</v>
      </c>
      <c r="D24" s="9">
        <v>35074</v>
      </c>
      <c r="E24" s="9">
        <f t="shared" si="0"/>
        <v>467.65333333333331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58" t="s">
        <v>281</v>
      </c>
      <c r="C25" s="114" t="s">
        <v>279</v>
      </c>
      <c r="D25" s="9">
        <v>83216</v>
      </c>
      <c r="E25" s="9">
        <f t="shared" ref="E25:E26" si="1">IFERROR(D25/C25,0)</f>
        <v>1109.5466666666666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8" t="s">
        <v>282</v>
      </c>
      <c r="C26" s="114" t="s">
        <v>283</v>
      </c>
      <c r="D26" s="9">
        <v>27729</v>
      </c>
      <c r="E26" s="9">
        <f t="shared" si="1"/>
        <v>554.58000000000004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91" t="s">
        <v>238</v>
      </c>
      <c r="C27" s="92"/>
      <c r="D27" s="93"/>
      <c r="E27" s="12">
        <f>SUM(E10:E26)</f>
        <v>83597.573333333305</v>
      </c>
      <c r="F27" s="12">
        <f t="shared" ref="F27:G27" si="2">SUM(F10:F26)</f>
        <v>0</v>
      </c>
      <c r="G27" s="12">
        <f t="shared" si="2"/>
        <v>0</v>
      </c>
      <c r="H27" s="13" t="s">
        <v>3</v>
      </c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Anlægsprojekter'!F27</f>
        <v>0</v>
      </c>
      <c r="D10" s="14" t="s">
        <v>3</v>
      </c>
      <c r="E10" s="9">
        <f>SUM('Fane 9. Anlægsprojekter'!E27,'Fane 9. Anlægsprojekter'!G27)</f>
        <v>83597.573333333305</v>
      </c>
      <c r="F10" s="14" t="s">
        <v>3</v>
      </c>
      <c r="G10" s="1"/>
    </row>
    <row r="11" spans="1:7" x14ac:dyDescent="0.25">
      <c r="A11" s="1"/>
      <c r="B11" s="115" t="s">
        <v>273</v>
      </c>
      <c r="C11" s="22">
        <v>0</v>
      </c>
      <c r="D11" s="14" t="s">
        <v>3</v>
      </c>
      <c r="E11" s="9">
        <v>55184</v>
      </c>
      <c r="F11" s="14" t="s">
        <v>3</v>
      </c>
      <c r="G11" s="1"/>
    </row>
    <row r="12" spans="1:7" x14ac:dyDescent="0.25">
      <c r="A12" s="1"/>
      <c r="B12" s="25" t="s">
        <v>274</v>
      </c>
      <c r="C12" s="22">
        <v>272080</v>
      </c>
      <c r="D12" s="14" t="s">
        <v>3</v>
      </c>
      <c r="E12" s="9">
        <v>131251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272080</v>
      </c>
      <c r="D13" s="13" t="s">
        <v>3</v>
      </c>
      <c r="E13" s="12">
        <f>SUM(E10:E12)</f>
        <v>270032.5733333333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275399.37599999999</v>
      </c>
      <c r="D14" s="13" t="s">
        <v>3</v>
      </c>
      <c r="E14" s="12">
        <f>E13*(1+'Fane 14. Nøgletal'!C13)</f>
        <v>273326.97072799999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141</v>
      </c>
      <c r="C8" s="92"/>
      <c r="D8" s="92"/>
      <c r="E8" s="92"/>
      <c r="F8" s="93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142</v>
      </c>
      <c r="C16" s="92"/>
      <c r="D16" s="92"/>
      <c r="E16" s="92"/>
      <c r="F16" s="93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143</v>
      </c>
      <c r="C24" s="92"/>
      <c r="D24" s="92"/>
      <c r="E24" s="92"/>
      <c r="F24" s="93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1" t="s">
        <v>223</v>
      </c>
      <c r="C32" s="92"/>
      <c r="D32" s="92"/>
      <c r="E32" s="92"/>
      <c r="F32" s="93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VXDCLRyNx/PtNQasIZ7SWobCnUUXSrZTOb0X9iRcxlvsFbL7yFQE4dSUxghQoZQNNYYYlaBMgSN9y1S/1G8uw==" saltValue="3hJdVgDsMHIsBeDGmdSk4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169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125</v>
      </c>
      <c r="C8" s="92"/>
      <c r="D8" s="92"/>
      <c r="E8" s="92"/>
      <c r="F8" s="93"/>
      <c r="G8" s="1"/>
    </row>
    <row r="9" spans="1:7" x14ac:dyDescent="0.25">
      <c r="A9" s="1"/>
      <c r="B9" s="111" t="s">
        <v>275</v>
      </c>
      <c r="C9" s="112"/>
      <c r="D9" s="113"/>
      <c r="E9" s="9">
        <v>481092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9"/>
      <c r="E10" s="9">
        <f>-E9*'Fane 5. Individuelt eff. krav'!G11</f>
        <v>-1777.6405351448532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9"/>
      <c r="E11" s="9">
        <f>-E9*'Fane 14. Nøgletal'!C27</f>
        <v>-9621.84</v>
      </c>
      <c r="F11" s="14" t="s">
        <v>3</v>
      </c>
      <c r="G11" s="1"/>
    </row>
    <row r="12" spans="1:7" x14ac:dyDescent="0.25">
      <c r="A12" s="1"/>
      <c r="B12" s="91" t="s">
        <v>128</v>
      </c>
      <c r="C12" s="92"/>
      <c r="D12" s="93"/>
      <c r="E12" s="12">
        <f>SUM(E9:E11)*(1+'Fane 14. Nøgletal'!C12)^3</f>
        <v>498001.78724937205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126</v>
      </c>
      <c r="C14" s="92"/>
      <c r="D14" s="92"/>
      <c r="E14" s="92"/>
      <c r="F14" s="93"/>
      <c r="G14" s="1"/>
    </row>
    <row r="15" spans="1:7" x14ac:dyDescent="0.25">
      <c r="A15" s="1"/>
      <c r="B15" s="111" t="s">
        <v>207</v>
      </c>
      <c r="C15" s="112"/>
      <c r="D15" s="113"/>
      <c r="E15" s="9">
        <v>489222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9"/>
      <c r="E16" s="9">
        <f>-E15*'Fane 5. Individuelt eff. krav'!G11</f>
        <v>-1807.6809796975117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9"/>
      <c r="E17" s="9">
        <f>-E15*'Fane 14. Nøgletal'!C27</f>
        <v>-9784.44</v>
      </c>
      <c r="F17" s="14" t="s">
        <v>3</v>
      </c>
      <c r="G17" s="1"/>
    </row>
    <row r="18" spans="1:7" x14ac:dyDescent="0.25">
      <c r="A18" s="1"/>
      <c r="B18" s="91" t="s">
        <v>129</v>
      </c>
      <c r="C18" s="92"/>
      <c r="D18" s="93"/>
      <c r="E18" s="12">
        <f>SUM(E15:E17)*(1+'Fane 14. Nøgletal'!C13)^3</f>
        <v>495325.27118928632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127</v>
      </c>
      <c r="C20" s="92"/>
      <c r="D20" s="92"/>
      <c r="E20" s="92"/>
      <c r="F20" s="93"/>
      <c r="G20" s="1"/>
    </row>
    <row r="21" spans="1:7" x14ac:dyDescent="0.25">
      <c r="A21" s="1"/>
      <c r="B21" s="111" t="s">
        <v>207</v>
      </c>
      <c r="C21" s="112"/>
      <c r="D21" s="113"/>
      <c r="E21" s="9">
        <v>489222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9"/>
      <c r="E22" s="9">
        <f>-E21*'Fane 5. Individuelt eff. krav'!G11</f>
        <v>-1807.6809796975117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9"/>
      <c r="E23" s="9">
        <f>-E21*'Fane 14. Nøgletal'!C27</f>
        <v>-9784.44</v>
      </c>
      <c r="F23" s="14" t="s">
        <v>3</v>
      </c>
      <c r="G23" s="1"/>
    </row>
    <row r="24" spans="1:7" x14ac:dyDescent="0.25">
      <c r="A24" s="1"/>
      <c r="B24" s="91" t="s">
        <v>130</v>
      </c>
      <c r="C24" s="92"/>
      <c r="D24" s="93"/>
      <c r="E24" s="12">
        <f>SUM(E21:E23)*(1+'Fane 14. Nøgletal'!C13)^4</f>
        <v>501368.23949779558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208</v>
      </c>
      <c r="C26" s="92"/>
      <c r="D26" s="92"/>
      <c r="E26" s="92"/>
      <c r="F26" s="93"/>
      <c r="G26" s="1"/>
    </row>
    <row r="27" spans="1:7" x14ac:dyDescent="0.25">
      <c r="A27" s="1"/>
      <c r="B27" s="111" t="s">
        <v>207</v>
      </c>
      <c r="C27" s="112"/>
      <c r="D27" s="113"/>
      <c r="E27" s="9">
        <v>489222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9"/>
      <c r="E28" s="9">
        <f>-E27*'Fane 5. Individuelt eff. krav'!G11</f>
        <v>-1807.6809796975117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9"/>
      <c r="E29" s="9">
        <f>-E27*'Fane 14. Nøgletal'!C27</f>
        <v>-9784.44</v>
      </c>
      <c r="F29" s="14" t="s">
        <v>3</v>
      </c>
      <c r="G29" s="1"/>
    </row>
    <row r="30" spans="1:7" x14ac:dyDescent="0.25">
      <c r="A30" s="1"/>
      <c r="B30" s="91" t="s">
        <v>209</v>
      </c>
      <c r="C30" s="92"/>
      <c r="D30" s="93"/>
      <c r="E30" s="12">
        <f>SUM(E27:E29)*(1+'Fane 14. Nøgletal'!C13)^5</f>
        <v>507484.93201966869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2KXjIMHB6GlKcblXUtC/LBvGOmNRTZLE0l8J12AAVboE/Gd8cqpc+CXlJ3zSJXyDWRBba6p/CYkDF+RCAK7hg==" saltValue="/AQDli6gCmnK28UvwBPqC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210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211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166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132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131</v>
      </c>
      <c r="C14" s="92"/>
      <c r="D14" s="92"/>
      <c r="E14" s="92"/>
      <c r="F14" s="93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133</v>
      </c>
      <c r="C20" s="92"/>
      <c r="D20" s="92"/>
      <c r="E20" s="92"/>
      <c r="F20" s="93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227</v>
      </c>
      <c r="C26" s="92"/>
      <c r="D26" s="92"/>
      <c r="E26" s="92"/>
      <c r="F26" s="93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8" t="s">
        <v>257</v>
      </c>
      <c r="C3" s="88"/>
      <c r="D3" s="1"/>
    </row>
    <row r="4" spans="1:4" ht="25.5" customHeight="1" x14ac:dyDescent="0.25">
      <c r="A4" s="1"/>
      <c r="B4" s="88"/>
      <c r="C4" s="8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6" t="s">
        <v>170</v>
      </c>
      <c r="C9" s="26">
        <v>1.2699999999999999E-2</v>
      </c>
      <c r="D9" s="1"/>
    </row>
    <row r="10" spans="1:4" x14ac:dyDescent="0.25">
      <c r="A10" s="1"/>
      <c r="B10" s="56" t="s">
        <v>171</v>
      </c>
      <c r="C10" s="26">
        <v>1.7500000000000002E-2</v>
      </c>
      <c r="D10" s="1"/>
    </row>
    <row r="11" spans="1:4" x14ac:dyDescent="0.25">
      <c r="A11" s="1"/>
      <c r="B11" s="56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6" t="s">
        <v>173</v>
      </c>
      <c r="C18" s="23">
        <v>9.1000000000000004E-3</v>
      </c>
      <c r="D18" s="1"/>
    </row>
    <row r="19" spans="1:4" x14ac:dyDescent="0.25">
      <c r="A19" s="1"/>
      <c r="B19" s="56" t="s">
        <v>174</v>
      </c>
      <c r="C19" s="23">
        <v>1.77E-2</v>
      </c>
      <c r="D19" s="1"/>
    </row>
    <row r="20" spans="1:4" x14ac:dyDescent="0.25">
      <c r="A20" s="1"/>
      <c r="B20" s="56" t="s">
        <v>175</v>
      </c>
      <c r="C20" s="23">
        <v>8.6999999999999994E-3</v>
      </c>
      <c r="D20" s="1"/>
    </row>
    <row r="21" spans="1:4" x14ac:dyDescent="0.25">
      <c r="A21" s="1"/>
      <c r="B21" s="56" t="s">
        <v>176</v>
      </c>
      <c r="C21" s="41">
        <v>2.8400000000000002E-2</v>
      </c>
      <c r="D21" s="1"/>
    </row>
    <row r="22" spans="1:4" x14ac:dyDescent="0.25">
      <c r="A22" s="1"/>
      <c r="B22" s="56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6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185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66861730.875764526</v>
      </c>
      <c r="D9" s="8" t="s">
        <v>3</v>
      </c>
      <c r="E9" s="1"/>
    </row>
    <row r="10" spans="1:5" ht="17.25" customHeight="1" x14ac:dyDescent="0.25">
      <c r="A10" s="1"/>
      <c r="B10" s="50" t="s">
        <v>48</v>
      </c>
      <c r="C10" s="7">
        <f>'Fane 10.1. Varige tillæg'!C14</f>
        <v>275399.37599999999</v>
      </c>
      <c r="D10" s="8" t="s">
        <v>3</v>
      </c>
      <c r="E10" s="1"/>
    </row>
    <row r="11" spans="1:5" ht="17.25" customHeight="1" x14ac:dyDescent="0.25">
      <c r="A11" s="1"/>
      <c r="B11" s="50" t="s">
        <v>49</v>
      </c>
      <c r="C11" s="9">
        <f>'Fane 10.1. Varige tillæg'!E14</f>
        <v>273326.97072799999</v>
      </c>
      <c r="D11" s="8" t="s">
        <v>3</v>
      </c>
      <c r="E11" s="1"/>
    </row>
    <row r="12" spans="1:5" ht="17.25" customHeight="1" x14ac:dyDescent="0.25">
      <c r="A12" s="1"/>
      <c r="B12" s="50" t="s">
        <v>32</v>
      </c>
      <c r="C12" s="9">
        <f>-'Fane 13. Bortfald'!C12</f>
        <v>0</v>
      </c>
      <c r="D12" s="8" t="s">
        <v>3</v>
      </c>
      <c r="E12" s="1"/>
    </row>
    <row r="13" spans="1:5" ht="17.25" customHeight="1" x14ac:dyDescent="0.25">
      <c r="A13" s="1"/>
      <c r="B13" s="50" t="s">
        <v>31</v>
      </c>
      <c r="C13" s="9">
        <f>-'Fane 13. Bortfald'!E12</f>
        <v>0</v>
      </c>
      <c r="D13" s="8" t="s">
        <v>3</v>
      </c>
      <c r="E13" s="1"/>
    </row>
    <row r="14" spans="1:5" ht="17.25" customHeight="1" x14ac:dyDescent="0.25">
      <c r="A14" s="1"/>
      <c r="B14" s="50" t="s">
        <v>186</v>
      </c>
      <c r="C14" s="9">
        <f>'Fane 12. Tilknyttet virksomhed'!C12</f>
        <v>0</v>
      </c>
      <c r="D14" s="8" t="s">
        <v>3</v>
      </c>
      <c r="E14" s="1"/>
    </row>
    <row r="15" spans="1:5" ht="17.25" customHeight="1" x14ac:dyDescent="0.25">
      <c r="A15" s="1"/>
      <c r="B15" s="50" t="s">
        <v>187</v>
      </c>
      <c r="C15" s="9">
        <f>'Fane 12. Tilknyttet virksomhed'!E12</f>
        <v>0</v>
      </c>
      <c r="D15" s="8" t="s">
        <v>3</v>
      </c>
      <c r="E15" s="1"/>
    </row>
    <row r="16" spans="1:5" ht="17.25" customHeight="1" x14ac:dyDescent="0.25">
      <c r="A16" s="1"/>
      <c r="B16" s="50" t="s">
        <v>20</v>
      </c>
      <c r="C16" s="9">
        <f>C9*'Fane 14. Nøgletal'!C12+SUM(C10:C15)*'Fane 14. Nøgletal'!C13</f>
        <v>1323870.5596826428</v>
      </c>
      <c r="D16" s="8" t="s">
        <v>3</v>
      </c>
      <c r="E16" s="1"/>
    </row>
    <row r="17" spans="1:5" ht="17.25" customHeight="1" x14ac:dyDescent="0.25">
      <c r="A17" s="1"/>
      <c r="B17" s="50" t="s">
        <v>10</v>
      </c>
      <c r="C17" s="9">
        <f>-SUM(C9:C16)*'Fane 5. Individuelt eff. krav'!G11</f>
        <v>-253974.14054178324</v>
      </c>
      <c r="D17" s="8" t="s">
        <v>3</v>
      </c>
      <c r="E17" s="1"/>
    </row>
    <row r="18" spans="1:5" ht="17.25" customHeight="1" x14ac:dyDescent="0.25">
      <c r="A18" s="1"/>
      <c r="B18" s="50" t="s">
        <v>29</v>
      </c>
      <c r="C18" s="9">
        <f>-'Fane 4.1. Gen. krav - drift'!G34</f>
        <v>-459659.73772823752</v>
      </c>
      <c r="D18" s="8" t="s">
        <v>3</v>
      </c>
      <c r="E18" s="1"/>
    </row>
    <row r="19" spans="1:5" ht="17.25" customHeight="1" x14ac:dyDescent="0.25">
      <c r="A19" s="1"/>
      <c r="B19" s="50" t="s">
        <v>30</v>
      </c>
      <c r="C19" s="9">
        <f>-'Fane 4.2. Gen. krav - anlæg'!G31</f>
        <v>-1356730.7229986347</v>
      </c>
      <c r="D19" s="8" t="s">
        <v>3</v>
      </c>
      <c r="E19" s="1"/>
    </row>
    <row r="20" spans="1:5" ht="17.25" customHeight="1" x14ac:dyDescent="0.25">
      <c r="A20" s="1"/>
      <c r="B20" s="54" t="s">
        <v>22</v>
      </c>
      <c r="C20" s="10">
        <f>SUM(C9:C19)</f>
        <v>66663963.180906504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3293443.4019372799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4" t="s">
        <v>114</v>
      </c>
      <c r="C24" s="10">
        <f>'Fane 11. Periodevise driftsomk.'!E12</f>
        <v>498001.78724937205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0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4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-407366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70048042.370093152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188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66663963.180906504</v>
      </c>
      <c r="D9" s="8" t="s">
        <v>3</v>
      </c>
      <c r="E9" s="1"/>
    </row>
    <row r="10" spans="1:5" ht="15" customHeight="1" x14ac:dyDescent="0.25">
      <c r="A10" s="1"/>
      <c r="B10" s="50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813300.35080705944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-249329.2735165531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-455962.23479795159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-1292242.0794103516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65479729.943988703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2205806.9276409149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driftsomk.'!E18</f>
        <v>495325.27118928632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68180862.142818913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189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65479729.943988703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798852.70531666221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-244900.13371528432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-452294.47458123683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-1272037.2283777308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64309350.812631115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2227747.9069581339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driftsomk.'!E24</f>
        <v>501368.23949779558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67038466.959087044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191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64309350.812631115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784574.07991409965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-240522.80952637532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-448656.21782770538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-1252148.2902934309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63152597.574897699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2249956.5662230235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driftsomk.'!E30</f>
        <v>507484.93201966869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65910039.07314039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194</v>
      </c>
      <c r="C3" s="88"/>
      <c r="D3" s="88"/>
      <c r="E3" s="88"/>
      <c r="F3" s="88"/>
      <c r="G3" s="1"/>
    </row>
    <row r="4" spans="1:7" ht="29.2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9" t="s">
        <v>25</v>
      </c>
      <c r="C9" s="80"/>
      <c r="D9" s="81"/>
      <c r="E9" s="7">
        <v>67170213.381907105</v>
      </c>
      <c r="F9" s="8" t="s">
        <v>3</v>
      </c>
      <c r="G9" s="1"/>
    </row>
    <row r="10" spans="1:7" ht="15" customHeight="1" x14ac:dyDescent="0.25">
      <c r="A10" s="1"/>
      <c r="B10" s="82" t="s">
        <v>48</v>
      </c>
      <c r="C10" s="83"/>
      <c r="D10" s="89"/>
      <c r="E10" s="7">
        <v>144185.58000000002</v>
      </c>
      <c r="F10" s="8" t="s">
        <v>3</v>
      </c>
      <c r="G10" s="1"/>
    </row>
    <row r="11" spans="1:7" ht="15" customHeight="1" x14ac:dyDescent="0.25">
      <c r="A11" s="1"/>
      <c r="B11" s="82" t="s">
        <v>49</v>
      </c>
      <c r="C11" s="83"/>
      <c r="D11" s="89"/>
      <c r="E11" s="9">
        <v>286433.51926199999</v>
      </c>
      <c r="F11" s="8" t="s">
        <v>3</v>
      </c>
      <c r="G11" s="1"/>
    </row>
    <row r="12" spans="1:7" ht="15" customHeight="1" x14ac:dyDescent="0.25">
      <c r="A12" s="1"/>
      <c r="B12" s="82" t="s">
        <v>32</v>
      </c>
      <c r="C12" s="83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2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2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25">
      <c r="A16" s="1"/>
      <c r="B16" s="79" t="s">
        <v>20</v>
      </c>
      <c r="C16" s="80"/>
      <c r="D16" s="81"/>
      <c r="E16" s="9">
        <f>SUM(E9:E15)*'Fane 14. Nøgletal'!C12</f>
        <v>1331736.3998790313</v>
      </c>
      <c r="F16" s="8" t="s">
        <v>3</v>
      </c>
      <c r="G16" s="1"/>
    </row>
    <row r="17" spans="1:7" ht="15" customHeight="1" x14ac:dyDescent="0.25">
      <c r="A17" s="1"/>
      <c r="B17" s="79" t="s">
        <v>10</v>
      </c>
      <c r="C17" s="80"/>
      <c r="D17" s="81"/>
      <c r="E17" s="9">
        <f>-SUM(E9:E16)*'Fane 5. Individuelt eff. krav'!G11</f>
        <v>-254706.64370768142</v>
      </c>
      <c r="F17" s="8" t="s">
        <v>3</v>
      </c>
      <c r="G17" s="1"/>
    </row>
    <row r="18" spans="1:7" ht="15" customHeight="1" x14ac:dyDescent="0.25">
      <c r="A18" s="1"/>
      <c r="B18" s="79" t="s">
        <v>29</v>
      </c>
      <c r="C18" s="80"/>
      <c r="D18" s="81"/>
      <c r="E18" s="9">
        <f>-'Fane 4.1. Gen. krav - drift'!G28</f>
        <v>-454399.90629546257</v>
      </c>
      <c r="F18" s="8" t="s">
        <v>3</v>
      </c>
      <c r="G18" s="1"/>
    </row>
    <row r="19" spans="1:7" ht="15" customHeight="1" x14ac:dyDescent="0.25">
      <c r="A19" s="1"/>
      <c r="B19" s="79" t="s">
        <v>30</v>
      </c>
      <c r="C19" s="80"/>
      <c r="D19" s="81"/>
      <c r="E19" s="9">
        <f>-'Fane 4.2. Gen. krav - anlæg'!G25</f>
        <v>-1361731.4552804758</v>
      </c>
      <c r="F19" s="8" t="s">
        <v>3</v>
      </c>
      <c r="G19" s="1"/>
    </row>
    <row r="20" spans="1:7" ht="15" customHeight="1" x14ac:dyDescent="0.25">
      <c r="A20" s="1"/>
      <c r="B20" s="54" t="s">
        <v>22</v>
      </c>
      <c r="C20" s="55"/>
      <c r="D20" s="57"/>
      <c r="E20" s="10">
        <f>SUM(E9:E19)</f>
        <v>66861730.875764526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6" t="s">
        <v>13</v>
      </c>
      <c r="C22" s="87"/>
      <c r="D22" s="90"/>
      <c r="E22" s="10">
        <v>2962993.6842159163</v>
      </c>
      <c r="F22" s="11" t="s">
        <v>3</v>
      </c>
      <c r="G22" s="1"/>
    </row>
    <row r="23" spans="1:7" ht="15" customHeight="1" x14ac:dyDescent="0.25">
      <c r="A23" s="1"/>
      <c r="B23" s="91" t="s">
        <v>114</v>
      </c>
      <c r="C23" s="92"/>
      <c r="D23" s="93"/>
      <c r="E23" s="32"/>
      <c r="F23" s="32"/>
      <c r="G23" s="1"/>
    </row>
    <row r="24" spans="1:7" ht="15" customHeight="1" x14ac:dyDescent="0.25">
      <c r="A24" s="1"/>
      <c r="B24" s="54" t="s">
        <v>114</v>
      </c>
      <c r="C24" s="44"/>
      <c r="D24" s="45"/>
      <c r="E24" s="10">
        <v>488380.46787897352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2" t="s">
        <v>109</v>
      </c>
      <c r="C26" s="83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25">
      <c r="A28" s="1"/>
      <c r="B28" s="84" t="s">
        <v>115</v>
      </c>
      <c r="C28" s="85"/>
      <c r="D28" s="85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6" t="s">
        <v>260</v>
      </c>
      <c r="C30" s="87"/>
      <c r="D30" s="87"/>
      <c r="E30" s="46">
        <v>899471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6" t="s">
        <v>262</v>
      </c>
      <c r="C32" s="87"/>
      <c r="D32" s="87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6" t="s">
        <v>264</v>
      </c>
      <c r="C34" s="87"/>
      <c r="D34" s="90"/>
      <c r="E34" s="10">
        <v>12570.584587020916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71225146.612446427</v>
      </c>
      <c r="F35" s="13" t="s">
        <v>3</v>
      </c>
      <c r="G35" s="1"/>
    </row>
    <row r="36" spans="1:7" ht="27" customHeight="1" x14ac:dyDescent="0.25">
      <c r="A36" s="1"/>
      <c r="B36" s="79" t="s">
        <v>218</v>
      </c>
      <c r="C36" s="80"/>
      <c r="D36" s="80"/>
      <c r="E36" s="80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8" t="s">
        <v>163</v>
      </c>
      <c r="C2" s="88"/>
      <c r="D2" s="88"/>
      <c r="E2" s="88"/>
      <c r="F2" s="88"/>
      <c r="G2" s="88"/>
      <c r="H2" s="88"/>
      <c r="I2" s="1"/>
    </row>
    <row r="3" spans="1:9" ht="28.5" customHeight="1" x14ac:dyDescent="0.25">
      <c r="A3" s="1"/>
      <c r="B3" s="88"/>
      <c r="C3" s="88"/>
      <c r="D3" s="88"/>
      <c r="E3" s="88"/>
      <c r="F3" s="88"/>
      <c r="G3" s="88"/>
      <c r="H3" s="88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1" t="s">
        <v>67</v>
      </c>
      <c r="C5" s="92"/>
      <c r="D5" s="92"/>
      <c r="E5" s="92"/>
      <c r="F5" s="92"/>
      <c r="G5" s="92"/>
      <c r="H5" s="93"/>
      <c r="I5" s="1"/>
    </row>
    <row r="6" spans="1:9" x14ac:dyDescent="0.25">
      <c r="A6" s="1"/>
      <c r="B6" s="94" t="s">
        <v>56</v>
      </c>
      <c r="C6" s="95"/>
      <c r="D6" s="95"/>
      <c r="E6" s="95"/>
      <c r="F6" s="96"/>
      <c r="G6" s="24">
        <v>22792929.192677006</v>
      </c>
      <c r="H6" s="14" t="s">
        <v>3</v>
      </c>
      <c r="I6" s="1"/>
    </row>
    <row r="7" spans="1:9" x14ac:dyDescent="0.25">
      <c r="A7" s="1"/>
      <c r="B7" s="79" t="s">
        <v>181</v>
      </c>
      <c r="C7" s="80"/>
      <c r="D7" s="80"/>
      <c r="E7" s="80"/>
      <c r="F7" s="81"/>
      <c r="G7" s="24">
        <v>472818</v>
      </c>
      <c r="H7" s="14" t="s">
        <v>3</v>
      </c>
      <c r="I7" s="1"/>
    </row>
    <row r="8" spans="1:9" x14ac:dyDescent="0.25">
      <c r="A8" s="1"/>
      <c r="B8" s="94" t="s">
        <v>57</v>
      </c>
      <c r="C8" s="95"/>
      <c r="D8" s="95"/>
      <c r="E8" s="95"/>
      <c r="F8" s="96"/>
      <c r="G8" s="24">
        <f>SUM(G6:G7)*'Fane 14. Nøgletal'!C27</f>
        <v>465314.94385354011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1" t="s">
        <v>68</v>
      </c>
      <c r="C11" s="92"/>
      <c r="D11" s="92"/>
      <c r="E11" s="92"/>
      <c r="F11" s="92"/>
      <c r="G11" s="92"/>
      <c r="H11" s="93"/>
      <c r="I11" s="1"/>
    </row>
    <row r="12" spans="1:9" x14ac:dyDescent="0.2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22718347.498177879</v>
      </c>
      <c r="H12" s="14" t="s">
        <v>3</v>
      </c>
      <c r="I12" s="1"/>
    </row>
    <row r="13" spans="1:9" ht="15" customHeight="1" x14ac:dyDescent="0.25">
      <c r="A13" s="1"/>
      <c r="B13" s="94" t="s">
        <v>182</v>
      </c>
      <c r="C13" s="95"/>
      <c r="D13" s="95"/>
      <c r="E13" s="95"/>
      <c r="F13" s="96"/>
      <c r="G13" s="24">
        <v>-55321.868196651849</v>
      </c>
      <c r="H13" s="14" t="s">
        <v>3</v>
      </c>
      <c r="I13" s="1"/>
    </row>
    <row r="14" spans="1:9" x14ac:dyDescent="0.25">
      <c r="A14" s="1"/>
      <c r="B14" s="79" t="s">
        <v>179</v>
      </c>
      <c r="C14" s="80"/>
      <c r="D14" s="80"/>
      <c r="E14" s="80"/>
      <c r="F14" s="81"/>
      <c r="G14" s="24">
        <v>481091.29750000004</v>
      </c>
      <c r="H14" s="14" t="s">
        <v>3</v>
      </c>
      <c r="I14" s="1"/>
    </row>
    <row r="15" spans="1:9" x14ac:dyDescent="0.25">
      <c r="A15" s="1"/>
      <c r="B15" s="97" t="s">
        <v>59</v>
      </c>
      <c r="C15" s="98"/>
      <c r="D15" s="98"/>
      <c r="E15" s="98"/>
      <c r="F15" s="99"/>
      <c r="G15" s="24">
        <v>0</v>
      </c>
      <c r="H15" s="14" t="s">
        <v>3</v>
      </c>
      <c r="I15" s="1"/>
    </row>
    <row r="16" spans="1:9" x14ac:dyDescent="0.2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462882.33854962455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1" t="s">
        <v>69</v>
      </c>
      <c r="C19" s="92"/>
      <c r="D19" s="92"/>
      <c r="E19" s="92"/>
      <c r="F19" s="92"/>
      <c r="G19" s="92"/>
      <c r="H19" s="93"/>
      <c r="I19" s="1"/>
    </row>
    <row r="20" spans="1:9" x14ac:dyDescent="0.2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22588645.799031656</v>
      </c>
      <c r="H20" s="14" t="s">
        <v>3</v>
      </c>
      <c r="I20" s="1"/>
    </row>
    <row r="21" spans="1:9" x14ac:dyDescent="0.25">
      <c r="A21" s="1"/>
      <c r="B21" s="97" t="s">
        <v>62</v>
      </c>
      <c r="C21" s="98"/>
      <c r="D21" s="98"/>
      <c r="E21" s="98"/>
      <c r="F21" s="99"/>
      <c r="G21" s="24">
        <v>0</v>
      </c>
      <c r="H21" s="14" t="s">
        <v>3</v>
      </c>
      <c r="I21" s="1"/>
    </row>
    <row r="22" spans="1:9" x14ac:dyDescent="0.2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451772.91598063312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1" t="s">
        <v>70</v>
      </c>
      <c r="C25" s="92"/>
      <c r="D25" s="92"/>
      <c r="E25" s="92"/>
      <c r="F25" s="92"/>
      <c r="G25" s="92"/>
      <c r="H25" s="93"/>
      <c r="I25" s="1"/>
    </row>
    <row r="26" spans="1:9" x14ac:dyDescent="0.2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22572969.278847128</v>
      </c>
      <c r="H26" s="14" t="s">
        <v>3</v>
      </c>
      <c r="I26" s="1"/>
    </row>
    <row r="27" spans="1:9" x14ac:dyDescent="0.25">
      <c r="A27" s="1"/>
      <c r="B27" s="97" t="s">
        <v>65</v>
      </c>
      <c r="C27" s="98"/>
      <c r="D27" s="98"/>
      <c r="E27" s="98"/>
      <c r="F27" s="99"/>
      <c r="G27" s="24">
        <v>147026.03592600001</v>
      </c>
      <c r="H27" s="14" t="s">
        <v>3</v>
      </c>
      <c r="I27" s="1"/>
    </row>
    <row r="28" spans="1:9" x14ac:dyDescent="0.25">
      <c r="A28" s="1"/>
      <c r="B28" s="94" t="s">
        <v>66</v>
      </c>
      <c r="C28" s="95"/>
      <c r="D28" s="95"/>
      <c r="E28" s="95"/>
      <c r="F28" s="96"/>
      <c r="G28" s="24">
        <f>(G26+G27)*'Fane 14. Nøgletal'!C27</f>
        <v>454399.90629546257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1" t="s">
        <v>73</v>
      </c>
      <c r="C31" s="92"/>
      <c r="D31" s="92"/>
      <c r="E31" s="92"/>
      <c r="F31" s="92"/>
      <c r="G31" s="92"/>
      <c r="H31" s="93"/>
      <c r="I31" s="1"/>
    </row>
    <row r="32" spans="1:9" x14ac:dyDescent="0.2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22704227.638024677</v>
      </c>
      <c r="H32" s="14" t="s">
        <v>3</v>
      </c>
      <c r="I32" s="1"/>
    </row>
    <row r="33" spans="1:9" x14ac:dyDescent="0.2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278759.2483872</v>
      </c>
      <c r="H33" s="14" t="s">
        <v>3</v>
      </c>
      <c r="I33" s="1"/>
    </row>
    <row r="34" spans="1:9" x14ac:dyDescent="0.25">
      <c r="A34" s="1"/>
      <c r="B34" s="94" t="s">
        <v>75</v>
      </c>
      <c r="C34" s="95"/>
      <c r="D34" s="95"/>
      <c r="E34" s="95"/>
      <c r="F34" s="96"/>
      <c r="G34" s="24">
        <f>(G32+G33)*'Fane 14. Nøgletal'!C27</f>
        <v>459659.73772823752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1" t="s">
        <v>100</v>
      </c>
      <c r="C37" s="92"/>
      <c r="D37" s="92"/>
      <c r="E37" s="92"/>
      <c r="F37" s="92"/>
      <c r="G37" s="92"/>
      <c r="H37" s="93"/>
      <c r="I37" s="1"/>
    </row>
    <row r="38" spans="1:9" x14ac:dyDescent="0.2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22798111.739897579</v>
      </c>
      <c r="H38" s="14" t="s">
        <v>3</v>
      </c>
      <c r="I38" s="1"/>
    </row>
    <row r="39" spans="1:9" x14ac:dyDescent="0.2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4" t="s">
        <v>76</v>
      </c>
      <c r="C40" s="95"/>
      <c r="D40" s="95"/>
      <c r="E40" s="95"/>
      <c r="F40" s="96"/>
      <c r="G40" s="24">
        <f>(G38+G39)*'Fane 14. Nøgletal'!C27</f>
        <v>455962.23479795159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1" t="s">
        <v>101</v>
      </c>
      <c r="C43" s="92"/>
      <c r="D43" s="92"/>
      <c r="E43" s="92"/>
      <c r="F43" s="92"/>
      <c r="G43" s="92"/>
      <c r="H43" s="93"/>
      <c r="I43" s="1"/>
    </row>
    <row r="44" spans="1:9" x14ac:dyDescent="0.2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22614723.729061842</v>
      </c>
      <c r="H44" s="14" t="s">
        <v>3</v>
      </c>
      <c r="I44" s="1"/>
    </row>
    <row r="45" spans="1:9" x14ac:dyDescent="0.2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4" t="s">
        <v>77</v>
      </c>
      <c r="C46" s="95"/>
      <c r="D46" s="95"/>
      <c r="E46" s="95"/>
      <c r="F46" s="96"/>
      <c r="G46" s="24">
        <f>(G44+G45)*'Fane 14. Nøgletal'!C27</f>
        <v>452294.47458123683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1" t="s">
        <v>231</v>
      </c>
      <c r="C51" s="92"/>
      <c r="D51" s="92"/>
      <c r="E51" s="92"/>
      <c r="F51" s="92"/>
      <c r="G51" s="92"/>
      <c r="H51" s="93"/>
      <c r="I51" s="1"/>
    </row>
    <row r="52" spans="1:9" x14ac:dyDescent="0.2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22432810.891385268</v>
      </c>
      <c r="H52" s="14" t="s">
        <v>3</v>
      </c>
      <c r="I52" s="1"/>
    </row>
    <row r="53" spans="1:9" x14ac:dyDescent="0.2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448656.21782770538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91" t="s">
        <v>71</v>
      </c>
      <c r="C4" s="92"/>
      <c r="D4" s="92"/>
      <c r="E4" s="92"/>
      <c r="F4" s="92"/>
      <c r="G4" s="92"/>
      <c r="H4" s="93"/>
      <c r="I4" s="1"/>
    </row>
    <row r="5" spans="1:9" x14ac:dyDescent="0.25">
      <c r="A5" s="1"/>
      <c r="B5" s="94" t="s">
        <v>78</v>
      </c>
      <c r="C5" s="95"/>
      <c r="D5" s="95"/>
      <c r="E5" s="95"/>
      <c r="F5" s="96"/>
      <c r="G5" s="24">
        <v>46913485.86690855</v>
      </c>
      <c r="H5" s="14" t="s">
        <v>3</v>
      </c>
      <c r="I5" s="1"/>
    </row>
    <row r="6" spans="1:9" x14ac:dyDescent="0.25">
      <c r="A6" s="1"/>
      <c r="B6" s="94" t="s">
        <v>72</v>
      </c>
      <c r="C6" s="95"/>
      <c r="D6" s="95"/>
      <c r="E6" s="95"/>
      <c r="F6" s="96"/>
      <c r="G6" s="24">
        <f>G5*'Fane 14. Nøgletal'!C18</f>
        <v>426912.72138886782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1" t="s">
        <v>79</v>
      </c>
      <c r="C9" s="92"/>
      <c r="D9" s="92"/>
      <c r="E9" s="92"/>
      <c r="F9" s="92"/>
      <c r="G9" s="92"/>
      <c r="H9" s="93"/>
      <c r="I9" s="1"/>
    </row>
    <row r="10" spans="1:9" x14ac:dyDescent="0.2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47300088.175566278</v>
      </c>
      <c r="H10" s="14" t="s">
        <v>3</v>
      </c>
      <c r="I10" s="1"/>
    </row>
    <row r="11" spans="1:9" x14ac:dyDescent="0.25">
      <c r="A11" s="1"/>
      <c r="B11" s="94" t="s">
        <v>183</v>
      </c>
      <c r="C11" s="95"/>
      <c r="D11" s="95"/>
      <c r="E11" s="95"/>
      <c r="F11" s="96"/>
      <c r="G11" s="24">
        <v>105245.71748111911</v>
      </c>
      <c r="H11" s="14" t="s">
        <v>3</v>
      </c>
      <c r="I11" s="1"/>
    </row>
    <row r="12" spans="1:9" x14ac:dyDescent="0.25">
      <c r="A12" s="1"/>
      <c r="B12" s="97" t="s">
        <v>81</v>
      </c>
      <c r="C12" s="98"/>
      <c r="D12" s="98"/>
      <c r="E12" s="98"/>
      <c r="F12" s="99"/>
      <c r="G12" s="24">
        <v>1535.3591687500002</v>
      </c>
      <c r="H12" s="14" t="s">
        <v>3</v>
      </c>
      <c r="I12" s="1"/>
    </row>
    <row r="13" spans="1:9" x14ac:dyDescent="0.2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839101.58576422592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1" t="s">
        <v>83</v>
      </c>
      <c r="C16" s="92"/>
      <c r="D16" s="92"/>
      <c r="E16" s="92"/>
      <c r="F16" s="92"/>
      <c r="G16" s="92"/>
      <c r="H16" s="93"/>
      <c r="I16" s="1"/>
    </row>
    <row r="17" spans="1:9" x14ac:dyDescent="0.2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47382703.600614838</v>
      </c>
      <c r="H17" s="14" t="s">
        <v>3</v>
      </c>
      <c r="I17" s="1"/>
    </row>
    <row r="18" spans="1:9" x14ac:dyDescent="0.25">
      <c r="A18" s="1"/>
      <c r="B18" s="97" t="s">
        <v>85</v>
      </c>
      <c r="C18" s="98"/>
      <c r="D18" s="98"/>
      <c r="E18" s="98"/>
      <c r="F18" s="99"/>
      <c r="G18" s="24">
        <v>193175.46463287994</v>
      </c>
      <c r="H18" s="14" t="s">
        <v>3</v>
      </c>
      <c r="I18" s="1"/>
    </row>
    <row r="19" spans="1:9" x14ac:dyDescent="0.2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840354.48027318867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1" t="s">
        <v>87</v>
      </c>
      <c r="C22" s="92"/>
      <c r="D22" s="92"/>
      <c r="E22" s="92"/>
      <c r="F22" s="92"/>
      <c r="G22" s="92"/>
      <c r="H22" s="93"/>
      <c r="I22" s="1"/>
    </row>
    <row r="23" spans="1:9" x14ac:dyDescent="0.2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47656214.41929853</v>
      </c>
      <c r="H23" s="14" t="s">
        <v>3</v>
      </c>
      <c r="I23" s="1"/>
    </row>
    <row r="24" spans="1:9" x14ac:dyDescent="0.25">
      <c r="A24" s="1"/>
      <c r="B24" s="97" t="s">
        <v>89</v>
      </c>
      <c r="C24" s="98"/>
      <c r="D24" s="98"/>
      <c r="E24" s="98"/>
      <c r="F24" s="99"/>
      <c r="G24" s="24">
        <v>292076.25959146139</v>
      </c>
      <c r="H24" s="14" t="s">
        <v>3</v>
      </c>
      <c r="I24" s="1"/>
    </row>
    <row r="25" spans="1:9" x14ac:dyDescent="0.25">
      <c r="A25" s="1"/>
      <c r="B25" s="94" t="s">
        <v>90</v>
      </c>
      <c r="C25" s="95"/>
      <c r="D25" s="95"/>
      <c r="E25" s="95"/>
      <c r="F25" s="96"/>
      <c r="G25" s="24">
        <f>(G23+G24)*'Fane 14. Nøgletal'!C21</f>
        <v>1361731.4552804758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1" t="s">
        <v>91</v>
      </c>
      <c r="C28" s="92"/>
      <c r="D28" s="92"/>
      <c r="E28" s="92"/>
      <c r="F28" s="92"/>
      <c r="G28" s="92"/>
      <c r="H28" s="93"/>
      <c r="I28" s="1"/>
    </row>
    <row r="29" spans="1:9" x14ac:dyDescent="0.2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47504314.440314621</v>
      </c>
      <c r="H29" s="14" t="s">
        <v>3</v>
      </c>
      <c r="I29" s="1"/>
    </row>
    <row r="30" spans="1:9" x14ac:dyDescent="0.2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276661.55977088161</v>
      </c>
      <c r="H30" s="14" t="s">
        <v>3</v>
      </c>
      <c r="I30" s="1"/>
    </row>
    <row r="31" spans="1:9" x14ac:dyDescent="0.2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1356730.7229986347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1" t="s">
        <v>102</v>
      </c>
      <c r="C34" s="92"/>
      <c r="D34" s="92"/>
      <c r="E34" s="92"/>
      <c r="F34" s="92"/>
      <c r="G34" s="92"/>
      <c r="H34" s="93"/>
      <c r="I34" s="1"/>
    </row>
    <row r="35" spans="1:9" x14ac:dyDescent="0.2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46990621.069467328</v>
      </c>
      <c r="H35" s="14" t="s">
        <v>3</v>
      </c>
      <c r="I35" s="1"/>
    </row>
    <row r="36" spans="1:9" x14ac:dyDescent="0.2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4" t="s">
        <v>94</v>
      </c>
      <c r="C37" s="95"/>
      <c r="D37" s="95"/>
      <c r="E37" s="95"/>
      <c r="F37" s="96"/>
      <c r="G37" s="24">
        <f>(G35+G36)*'Fane 14. Nøgletal'!C22</f>
        <v>1292242.0794103516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1" t="s">
        <v>103</v>
      </c>
      <c r="C40" s="92"/>
      <c r="D40" s="92"/>
      <c r="E40" s="92"/>
      <c r="F40" s="92"/>
      <c r="G40" s="92"/>
      <c r="H40" s="93"/>
      <c r="I40" s="1"/>
    </row>
    <row r="41" spans="1:9" x14ac:dyDescent="0.2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46255899.21373567</v>
      </c>
      <c r="H41" s="14" t="s">
        <v>3</v>
      </c>
      <c r="I41" s="1"/>
    </row>
    <row r="42" spans="1:9" x14ac:dyDescent="0.2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4" t="s">
        <v>95</v>
      </c>
      <c r="C43" s="95"/>
      <c r="D43" s="95"/>
      <c r="E43" s="95"/>
      <c r="F43" s="96"/>
      <c r="G43" s="24">
        <f>(G41+G42)*'Fane 14. Nøgletal'!C22</f>
        <v>1272037.2283777308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1" t="s">
        <v>240</v>
      </c>
      <c r="C46" s="92"/>
      <c r="D46" s="92"/>
      <c r="E46" s="92"/>
      <c r="F46" s="92"/>
      <c r="G46" s="92"/>
      <c r="H46" s="93"/>
      <c r="I46" s="1"/>
    </row>
    <row r="47" spans="1:9" x14ac:dyDescent="0.2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45532665.101579309</v>
      </c>
      <c r="H47" s="14" t="s">
        <v>3</v>
      </c>
      <c r="I47" s="1"/>
    </row>
    <row r="48" spans="1:9" x14ac:dyDescent="0.2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1252148.2902934309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4" t="s">
        <v>104</v>
      </c>
      <c r="C9" s="95"/>
      <c r="D9" s="95"/>
      <c r="E9" s="95"/>
      <c r="F9" s="96"/>
      <c r="G9" s="23">
        <v>7.9199737765736026E-3</v>
      </c>
      <c r="H9" s="14"/>
      <c r="I9" s="1"/>
    </row>
    <row r="10" spans="1:9" x14ac:dyDescent="0.25">
      <c r="A10" s="1"/>
      <c r="B10" s="94" t="s">
        <v>105</v>
      </c>
      <c r="C10" s="95"/>
      <c r="D10" s="95"/>
      <c r="E10" s="95"/>
      <c r="F10" s="96"/>
      <c r="G10" s="23">
        <v>8.1919969487005383E-3</v>
      </c>
      <c r="H10" s="14"/>
      <c r="I10" s="1"/>
    </row>
    <row r="11" spans="1:9" x14ac:dyDescent="0.25">
      <c r="A11" s="1"/>
      <c r="B11" s="94" t="s">
        <v>106</v>
      </c>
      <c r="C11" s="95"/>
      <c r="D11" s="95"/>
      <c r="E11" s="95"/>
      <c r="F11" s="96"/>
      <c r="G11" s="41">
        <v>3.695011630093315E-3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2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2020-09-21T11:48:27Z</dcterms:modified>
</cp:coreProperties>
</file>