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Renseanlæg AS (S05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l="1"/>
  <c r="E34" i="32" s="1"/>
  <c r="E28" i="32"/>
  <c r="C32" i="2" s="1"/>
  <c r="C14" i="19"/>
  <c r="C20" i="23" l="1"/>
  <c r="C20" i="22"/>
  <c r="C20" i="15"/>
  <c r="E34" i="27"/>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<sst xmlns="http://schemas.openxmlformats.org/spreadsheetml/2006/main" count="607" uniqueCount="289">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</sst>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3RgiVCSUC9OSw8tlV10YuMCG0fPxTsmPLsqLKRcsklJNcYrOZYqeIPYT0J6CMVbHFAV3fOq4omhYPUSAJqSFKw==" saltValue="TGq34niZWcPUSPg3JES8v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3309208</v>
      </c>
      <c r="D10" s="14" t="s">
        <v>3</v>
      </c>
      <c r="E10" s="1"/>
      <c r="F10" s="1"/>
    </row>
    <row r="11" spans="1:6" x14ac:dyDescent="0.25">
      <c r="A11" s="1"/>
      <c r="B11" s="94" t="s">
        <v>266</v>
      </c>
      <c r="C11" s="9">
        <v>220444</v>
      </c>
      <c r="D11" s="14" t="s">
        <v>3</v>
      </c>
      <c r="E11" s="1"/>
      <c r="F11" s="1"/>
    </row>
    <row r="12" spans="1:6" x14ac:dyDescent="0.25">
      <c r="A12" s="1"/>
      <c r="B12" s="94" t="s">
        <v>267</v>
      </c>
      <c r="C12" s="9">
        <v>393526</v>
      </c>
      <c r="D12" s="14" t="s">
        <v>3</v>
      </c>
      <c r="E12" s="1"/>
      <c r="F12" s="1"/>
    </row>
    <row r="13" spans="1:6" x14ac:dyDescent="0.25">
      <c r="A13" s="1"/>
      <c r="B13" s="94" t="s">
        <v>268</v>
      </c>
      <c r="C13" s="9">
        <v>269072</v>
      </c>
      <c r="D13" s="14" t="s">
        <v>3</v>
      </c>
      <c r="E13" s="1"/>
      <c r="F13" s="1"/>
    </row>
    <row r="14" spans="1:6" x14ac:dyDescent="0.25">
      <c r="A14" s="1"/>
      <c r="B14" s="32" t="s">
        <v>200</v>
      </c>
      <c r="C14" s="12">
        <f>SUM(C10:C13)</f>
        <v>4192250</v>
      </c>
      <c r="D14" s="13" t="s">
        <v>3</v>
      </c>
      <c r="E14" s="1"/>
      <c r="F14" s="1"/>
    </row>
    <row r="15" spans="1:6" x14ac:dyDescent="0.25">
      <c r="A15" s="1"/>
      <c r="B15" s="32" t="s">
        <v>201</v>
      </c>
      <c r="C15" s="12">
        <f>C14*(1+'Fane 15. Nøgletal'!C15)^2</f>
        <v>4496051.2899600007</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7" t="s">
        <v>117</v>
      </c>
      <c r="C18" s="128"/>
      <c r="D18" s="129"/>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27"/>
      <c r="C23" s="128"/>
      <c r="D23" s="129"/>
      <c r="E23" s="1"/>
      <c r="F23" s="1"/>
    </row>
    <row r="24" spans="1:6" x14ac:dyDescent="0.25">
      <c r="A24" s="1"/>
      <c r="B24" s="1"/>
      <c r="C24" s="1"/>
      <c r="D24" s="1"/>
      <c r="E24" s="1"/>
      <c r="F24" s="1"/>
    </row>
    <row r="25" spans="1:6" x14ac:dyDescent="0.25">
      <c r="A25" s="1"/>
      <c r="B25" s="1"/>
      <c r="C25" s="1"/>
      <c r="D25" s="1"/>
      <c r="E25" s="1"/>
      <c r="F25" s="1"/>
    </row>
    <row r="26" spans="1:6" x14ac:dyDescent="0.25">
      <c r="A26" s="1"/>
      <c r="B26" s="127" t="s">
        <v>98</v>
      </c>
      <c r="C26" s="128"/>
      <c r="D26" s="129"/>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27"/>
      <c r="C31" s="128"/>
      <c r="D31" s="129"/>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beYgotEpACWv7zF5jERZh2b0jwdWg8IpQ9nV+6mo5MN/X21R1gr0rpuDfesprqRJxJbZcAi/Y0KwWze97bjY7A==" saltValue="X2mxVBMSrbQ2aJSDkKuU4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-4431275.2106427103</v>
      </c>
      <c r="F9" s="14" t="s">
        <v>3</v>
      </c>
      <c r="G9" s="1"/>
    </row>
    <row r="10" spans="1:7" x14ac:dyDescent="0.25">
      <c r="A10" s="1"/>
      <c r="B10" s="137" t="s">
        <v>263</v>
      </c>
      <c r="C10" s="138"/>
      <c r="D10" s="139"/>
      <c r="E10" s="9">
        <v>-3713090.1894324124</v>
      </c>
      <c r="F10" s="14" t="s">
        <v>3</v>
      </c>
      <c r="G10" s="1"/>
    </row>
    <row r="11" spans="1:7" x14ac:dyDescent="0.25">
      <c r="A11" s="1"/>
      <c r="B11" s="32"/>
      <c r="C11" s="27"/>
      <c r="D11" s="27"/>
      <c r="E11" s="27"/>
      <c r="F11" s="19"/>
      <c r="G11" s="1"/>
    </row>
    <row r="12" spans="1:7" ht="80.25" customHeight="1" x14ac:dyDescent="0.25">
      <c r="A12" s="1"/>
      <c r="B12" s="130" t="s">
        <v>287</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282</v>
      </c>
      <c r="C15" s="138"/>
      <c r="D15" s="139"/>
      <c r="E15" s="9">
        <v>-1856545.1543813832</v>
      </c>
      <c r="F15" s="14" t="s">
        <v>3</v>
      </c>
      <c r="G15" s="1"/>
    </row>
    <row r="16" spans="1:7" x14ac:dyDescent="0.25">
      <c r="A16" s="1"/>
      <c r="B16" s="137" t="s">
        <v>283</v>
      </c>
      <c r="C16" s="138"/>
      <c r="D16" s="139"/>
      <c r="E16" s="9">
        <v>-1856545.1543813832</v>
      </c>
      <c r="F16" s="14" t="s">
        <v>3</v>
      </c>
      <c r="G16" s="1"/>
    </row>
    <row r="17" spans="1:7" x14ac:dyDescent="0.25">
      <c r="A17" s="1"/>
      <c r="B17" s="32"/>
      <c r="C17" s="27"/>
      <c r="D17" s="27"/>
      <c r="E17" s="27"/>
      <c r="F17" s="19"/>
      <c r="G17" s="1"/>
    </row>
    <row r="18" spans="1:7" ht="31.5" customHeight="1" x14ac:dyDescent="0.25">
      <c r="A18" s="1"/>
      <c r="B18" s="130" t="s">
        <v>288</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44269638.103674404</v>
      </c>
      <c r="F21" s="14" t="s">
        <v>3</v>
      </c>
      <c r="G21" s="1"/>
    </row>
    <row r="22" spans="1:7" x14ac:dyDescent="0.25">
      <c r="A22" s="1"/>
      <c r="B22" s="91" t="s">
        <v>207</v>
      </c>
      <c r="C22" s="92"/>
      <c r="D22" s="93"/>
      <c r="E22" s="44">
        <v>44793503</v>
      </c>
      <c r="F22" s="14" t="s">
        <v>3</v>
      </c>
      <c r="G22" s="1"/>
    </row>
    <row r="23" spans="1:7" x14ac:dyDescent="0.25">
      <c r="A23" s="1"/>
      <c r="B23" s="91" t="s">
        <v>33</v>
      </c>
      <c r="C23" s="92"/>
      <c r="D23" s="93"/>
      <c r="E23" s="9">
        <v>0</v>
      </c>
      <c r="F23" s="14" t="s">
        <v>3</v>
      </c>
      <c r="G23" s="1"/>
    </row>
    <row r="24" spans="1:7" x14ac:dyDescent="0.25">
      <c r="A24" s="1"/>
      <c r="B24" s="89" t="s">
        <v>269</v>
      </c>
      <c r="C24" s="90"/>
      <c r="D24" s="96"/>
      <c r="E24" s="72">
        <f>E21-(E22-E23)</f>
        <v>-523864.89632559568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284</v>
      </c>
      <c r="C27" s="128"/>
      <c r="D27" s="128"/>
      <c r="E27" s="128"/>
      <c r="F27" s="129"/>
      <c r="G27" s="1"/>
    </row>
    <row r="28" spans="1:7" x14ac:dyDescent="0.25">
      <c r="A28" s="1"/>
      <c r="B28" s="133" t="s">
        <v>285</v>
      </c>
      <c r="C28" s="134"/>
      <c r="D28" s="155"/>
      <c r="E28" s="73">
        <f>IF(AND(E9&gt;0,(E9+E24)&gt;0),0,IF(AND(E9&gt;0,(E9+E24)&lt;0),0,IF(AND(E9&lt;0,E24&gt;0,E10=0),0,IF(AND(E9&lt;0,E24&gt;0,ABS(E10)&lt;ABS(E24)),ABS(E16),IF(AND(E9&lt;0,E24&gt;0,ABS(E10)&gt;ABS(E24),ABS(E16)&gt;ABS(E24)),-(ABS(E16)-ABS(E24)),IF(AND(E9&lt;0,E24&gt;0,ABS(E10)&gt;ABS(E24),ABS(E16)&lt;ABS(E24)),E24-ABS(E16),IF(AND(E9&lt;0,E24&lt;0),E16,0)))))))</f>
        <v>-1856545.1543813832</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6" t="s">
        <v>143</v>
      </c>
      <c r="C32" s="157"/>
      <c r="D32" s="158"/>
      <c r="E32" s="74">
        <f>IF(AND(E9&gt;0,(E9+E24)&gt;0),0,IF(AND(E9&gt;0,(E9+E24)&lt;0),(E9+E24),IF(AND(E9&lt;0,E24&lt;0),E24,0)))</f>
        <v>-523864.89632559568</v>
      </c>
      <c r="F32" s="14" t="s">
        <v>3</v>
      </c>
      <c r="G32" s="1"/>
    </row>
    <row r="33" spans="1:7" x14ac:dyDescent="0.25">
      <c r="A33" s="1"/>
      <c r="B33" s="156" t="s">
        <v>102</v>
      </c>
      <c r="C33" s="157"/>
      <c r="D33" s="158"/>
      <c r="E33" s="9">
        <v>4</v>
      </c>
      <c r="F33" s="14" t="s">
        <v>20</v>
      </c>
      <c r="G33" s="1"/>
    </row>
    <row r="34" spans="1:7" x14ac:dyDescent="0.25">
      <c r="A34" s="1"/>
      <c r="B34" s="151" t="s">
        <v>144</v>
      </c>
      <c r="C34" s="151"/>
      <c r="D34" s="151"/>
      <c r="E34" s="73">
        <f>E32/E33</f>
        <v>-130966.22408139892</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8CwGjLK5FvVWDIh24+fjAjdIH9BsfRLeCETbATEbxqmZpFBiykJLwQuenSu8STYC6ax6E5KWA8BDPLTv47VIFg==" saltValue="KLktRkyPYYLDox0ycPmpJ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274</v>
      </c>
      <c r="C10" s="160"/>
      <c r="D10" s="160"/>
      <c r="E10" s="160"/>
      <c r="F10" s="161"/>
      <c r="G10" s="9">
        <v>0</v>
      </c>
      <c r="H10" s="9" t="s">
        <v>3</v>
      </c>
      <c r="I10" s="1"/>
    </row>
    <row r="11" spans="1:9" x14ac:dyDescent="0.25">
      <c r="A11" s="1"/>
      <c r="B11" s="159" t="s">
        <v>275</v>
      </c>
      <c r="C11" s="160"/>
      <c r="D11" s="160"/>
      <c r="E11" s="160"/>
      <c r="F11" s="161"/>
      <c r="G11" s="9">
        <v>0</v>
      </c>
      <c r="H11" s="9" t="s">
        <v>3</v>
      </c>
      <c r="I11" s="1"/>
    </row>
    <row r="12" spans="1:9" x14ac:dyDescent="0.25">
      <c r="A12" s="1"/>
      <c r="B12" s="159" t="s">
        <v>276</v>
      </c>
      <c r="C12" s="160"/>
      <c r="D12" s="160"/>
      <c r="E12" s="160"/>
      <c r="F12" s="161"/>
      <c r="G12" s="9">
        <v>0</v>
      </c>
      <c r="H12" s="9" t="s">
        <v>3</v>
      </c>
      <c r="I12" s="1"/>
    </row>
    <row r="13" spans="1:9" x14ac:dyDescent="0.25">
      <c r="A13" s="1"/>
      <c r="B13" s="159" t="s">
        <v>277</v>
      </c>
      <c r="C13" s="160"/>
      <c r="D13" s="160"/>
      <c r="E13" s="160"/>
      <c r="F13" s="161"/>
      <c r="G13" s="9">
        <v>0</v>
      </c>
      <c r="H13" s="9" t="s">
        <v>3</v>
      </c>
      <c r="I13" s="1"/>
    </row>
    <row r="14" spans="1:9" x14ac:dyDescent="0.25">
      <c r="A14" s="1"/>
      <c r="B14" s="159" t="s">
        <v>278</v>
      </c>
      <c r="C14" s="160"/>
      <c r="D14" s="160"/>
      <c r="E14" s="160"/>
      <c r="F14" s="161"/>
      <c r="G14" s="9">
        <v>0</v>
      </c>
      <c r="H14" s="9" t="s">
        <v>3</v>
      </c>
      <c r="I14" s="1"/>
    </row>
    <row r="15" spans="1:9" x14ac:dyDescent="0.25">
      <c r="A15" s="1"/>
      <c r="B15" s="159" t="s">
        <v>279</v>
      </c>
      <c r="C15" s="160"/>
      <c r="D15" s="160"/>
      <c r="E15" s="160"/>
      <c r="F15" s="161"/>
      <c r="G15" s="9">
        <v>0</v>
      </c>
      <c r="H15" s="9" t="s">
        <v>3</v>
      </c>
      <c r="I15" s="1"/>
    </row>
    <row r="16" spans="1:9" x14ac:dyDescent="0.25">
      <c r="A16" s="1"/>
      <c r="B16" s="159" t="s">
        <v>280</v>
      </c>
      <c r="C16" s="160"/>
      <c r="D16" s="160"/>
      <c r="E16" s="160"/>
      <c r="F16" s="161"/>
      <c r="G16" s="9">
        <v>0</v>
      </c>
      <c r="H16" s="9" t="s">
        <v>3</v>
      </c>
      <c r="I16" s="1"/>
    </row>
    <row r="17" spans="1:9" x14ac:dyDescent="0.25">
      <c r="A17" s="1"/>
      <c r="B17" s="159" t="s">
        <v>281</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MQ5fnODNibiHeO2EIe7X4s+KAdhS+UUwC51rnI4emcQ5msrf8bHgdlSHTgP/HiSTKOl81av0LJPnQOQHbl9ghA==" saltValue="35U+i6edohpqksibZL3leg=="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437807.61267369078</v>
      </c>
      <c r="F10" s="8" t="s">
        <v>3</v>
      </c>
      <c r="G10" s="1"/>
    </row>
    <row r="11" spans="1:7" x14ac:dyDescent="0.25">
      <c r="A11" s="1"/>
      <c r="B11" s="137" t="s">
        <v>209</v>
      </c>
      <c r="C11" s="138"/>
      <c r="D11" s="139"/>
      <c r="E11" s="7">
        <v>0</v>
      </c>
      <c r="F11" s="8" t="s">
        <v>3</v>
      </c>
      <c r="G11" s="1"/>
    </row>
    <row r="12" spans="1:7" x14ac:dyDescent="0.25">
      <c r="A12" s="1"/>
      <c r="B12" s="133" t="s">
        <v>101</v>
      </c>
      <c r="C12" s="134"/>
      <c r="D12" s="155"/>
      <c r="E12" s="10">
        <f>E11-E10</f>
        <v>-437807.61267369078</v>
      </c>
      <c r="F12" s="11" t="s">
        <v>3</v>
      </c>
      <c r="G12" s="1"/>
    </row>
    <row r="13" spans="1:7" x14ac:dyDescent="0.25">
      <c r="A13" s="1"/>
      <c r="B13" s="127" t="s">
        <v>94</v>
      </c>
      <c r="C13" s="128"/>
      <c r="D13" s="128"/>
      <c r="E13" s="128"/>
      <c r="F13" s="129"/>
      <c r="G13" s="1"/>
    </row>
    <row r="14" spans="1:7" x14ac:dyDescent="0.25">
      <c r="A14" s="1"/>
      <c r="B14" s="137" t="s">
        <v>210</v>
      </c>
      <c r="C14" s="138"/>
      <c r="D14" s="139"/>
      <c r="E14" s="9"/>
      <c r="F14" s="8" t="s">
        <v>3</v>
      </c>
      <c r="G14" s="1"/>
    </row>
    <row r="15" spans="1:7" x14ac:dyDescent="0.25">
      <c r="A15" s="1"/>
      <c r="B15" s="130" t="s">
        <v>211</v>
      </c>
      <c r="C15" s="131"/>
      <c r="D15" s="132"/>
      <c r="E15" s="9"/>
      <c r="F15" s="8" t="s">
        <v>3</v>
      </c>
      <c r="G15" s="1"/>
    </row>
    <row r="16" spans="1:7" x14ac:dyDescent="0.25">
      <c r="A16" s="1"/>
      <c r="B16" s="133" t="s">
        <v>101</v>
      </c>
      <c r="C16" s="134"/>
      <c r="D16" s="155"/>
      <c r="E16" s="10">
        <f>E15-E14</f>
        <v>0</v>
      </c>
      <c r="F16" s="11" t="s">
        <v>3</v>
      </c>
      <c r="G16" s="1"/>
    </row>
    <row r="17" spans="1:7" x14ac:dyDescent="0.25">
      <c r="A17" s="1"/>
      <c r="B17" s="32" t="s">
        <v>212</v>
      </c>
      <c r="C17" s="27"/>
      <c r="D17" s="27"/>
      <c r="E17" s="12">
        <f>E12+E16</f>
        <v>-437807.61267369078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88hXL3LyevN41bdCWra7REUtwsl9R4sXf98vfS9pKcgOHk/mcBFyJd5EO1xbUcbAD9eBZGjrjNOQ/qeLxY3CTw==" saltValue="249wZ0qPPee+wZz80Urvq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272</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rzlcQhxMnayF8N/y9+xNtUpuNKutr63BEeM2m0b5ID7CNwgOj5BDe+gnQ8dg4K6fbdWbELiss9tF/eLunFfW4Q==" saltValue="P9RWxvqA3mHAXFL4huIVn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0</v>
      </c>
      <c r="D11" s="14" t="s">
        <v>3</v>
      </c>
      <c r="E11" s="9">
        <v>0</v>
      </c>
      <c r="F11" s="14" t="s">
        <v>3</v>
      </c>
      <c r="G11" s="1"/>
    </row>
    <row r="12" spans="1:7" x14ac:dyDescent="0.25">
      <c r="A12" s="1"/>
      <c r="B12" s="32" t="s">
        <v>156</v>
      </c>
      <c r="C12" s="12">
        <f>SUM(C10:C11)</f>
        <v>0</v>
      </c>
      <c r="D12" s="13" t="s">
        <v>3</v>
      </c>
      <c r="E12" s="12">
        <f>SUM(E10:E11)</f>
        <v>0</v>
      </c>
      <c r="F12" s="13" t="s">
        <v>3</v>
      </c>
      <c r="G12" s="1"/>
    </row>
    <row r="13" spans="1:7" x14ac:dyDescent="0.25">
      <c r="A13" s="1"/>
      <c r="B13" s="32" t="s">
        <v>213</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soyyWilMW1qEljk/bQ3P4qsj9L+ts/vUAF9I8izqswCCTYvH4BCHqjk6d3cNSzHAR+bDXy3XbrYogpRyIWaaEw==" saltValue="RezB0RzzJSoEZ6jlBlTVk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271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2m9SJSnch3Sk/9rP2583stC5pIO0rGkq/6/m9mXK9xPCkrnbbp3SZrv5rIDJ4fgWbgdemo+NJpySjbKBuA3eMg==" saltValue="dHJtL/YCAtyZSrW1cBjrY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278675.58971861098</v>
      </c>
      <c r="F10" s="14" t="s">
        <v>3</v>
      </c>
      <c r="G10" s="1"/>
    </row>
    <row r="11" spans="1:7" x14ac:dyDescent="0.25">
      <c r="A11" s="1"/>
      <c r="B11" s="121" t="s">
        <v>10</v>
      </c>
      <c r="C11" s="122"/>
      <c r="D11" s="123"/>
      <c r="E11" s="9">
        <f>-E10*'Fane 5. Individuelt eff. krav'!G9</f>
        <v>-5573.5117943722198</v>
      </c>
      <c r="F11" s="14" t="s">
        <v>3</v>
      </c>
      <c r="G11" s="1"/>
    </row>
    <row r="12" spans="1:7" x14ac:dyDescent="0.25">
      <c r="A12" s="1"/>
      <c r="B12" s="121" t="s">
        <v>24</v>
      </c>
      <c r="C12" s="122"/>
      <c r="D12" s="123"/>
      <c r="E12" s="9">
        <f>-E10*'Fane 15. Nøgletal'!C31</f>
        <v>-5573.5117943722198</v>
      </c>
      <c r="F12" s="14" t="s">
        <v>3</v>
      </c>
      <c r="G12" s="1"/>
    </row>
    <row r="13" spans="1:7" x14ac:dyDescent="0.25">
      <c r="A13" s="1"/>
      <c r="B13" s="127" t="s">
        <v>92</v>
      </c>
      <c r="C13" s="128"/>
      <c r="D13" s="129"/>
      <c r="E13" s="12">
        <f>SUM(E10:E12)*(1+'Fane 15. Nøgletal'!C15)^2</f>
        <v>286915.65504188341</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278675.58971861098</v>
      </c>
      <c r="F16" s="14" t="s">
        <v>3</v>
      </c>
      <c r="G16" s="1"/>
    </row>
    <row r="17" spans="1:7" x14ac:dyDescent="0.25">
      <c r="A17" s="1"/>
      <c r="B17" s="121" t="s">
        <v>10</v>
      </c>
      <c r="C17" s="122"/>
      <c r="D17" s="123"/>
      <c r="E17" s="9">
        <f>-E16*'Fane 5. Individuelt eff. krav'!G9</f>
        <v>-5573.5117943722198</v>
      </c>
      <c r="F17" s="14" t="s">
        <v>3</v>
      </c>
      <c r="G17" s="1"/>
    </row>
    <row r="18" spans="1:7" x14ac:dyDescent="0.25">
      <c r="A18" s="1"/>
      <c r="B18" s="121" t="s">
        <v>24</v>
      </c>
      <c r="C18" s="122"/>
      <c r="D18" s="123"/>
      <c r="E18" s="9">
        <f>-E16*'Fane 15. Nøgletal'!C31</f>
        <v>-5573.5117943722198</v>
      </c>
      <c r="F18" s="14" t="s">
        <v>3</v>
      </c>
      <c r="G18" s="1"/>
    </row>
    <row r="19" spans="1:7" x14ac:dyDescent="0.25">
      <c r="A19" s="1"/>
      <c r="B19" s="127" t="s">
        <v>131</v>
      </c>
      <c r="C19" s="128"/>
      <c r="D19" s="129"/>
      <c r="E19" s="12">
        <f>SUM(E16:E18)*(1+'Fane 15. Nøgletal'!C15)^3</f>
        <v>297129.85236137448</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278675.58971861098</v>
      </c>
      <c r="F22" s="14" t="s">
        <v>3</v>
      </c>
      <c r="G22" s="1"/>
    </row>
    <row r="23" spans="1:7" x14ac:dyDescent="0.25">
      <c r="A23" s="1"/>
      <c r="B23" s="121" t="s">
        <v>10</v>
      </c>
      <c r="C23" s="122"/>
      <c r="D23" s="123"/>
      <c r="E23" s="9">
        <f>-E22*'Fane 5. Individuelt eff. krav'!G9</f>
        <v>-5573.5117943722198</v>
      </c>
      <c r="F23" s="14" t="s">
        <v>3</v>
      </c>
      <c r="G23" s="1"/>
    </row>
    <row r="24" spans="1:7" x14ac:dyDescent="0.25">
      <c r="A24" s="1"/>
      <c r="B24" s="121" t="s">
        <v>24</v>
      </c>
      <c r="C24" s="122"/>
      <c r="D24" s="123"/>
      <c r="E24" s="9">
        <f>-E22*'Fane 15. Nøgletal'!C31</f>
        <v>-5573.5117943722198</v>
      </c>
      <c r="F24" s="14" t="s">
        <v>3</v>
      </c>
      <c r="G24" s="1"/>
    </row>
    <row r="25" spans="1:7" x14ac:dyDescent="0.25">
      <c r="A25" s="1"/>
      <c r="B25" s="127" t="s">
        <v>158</v>
      </c>
      <c r="C25" s="128"/>
      <c r="D25" s="129"/>
      <c r="E25" s="12">
        <f>SUM(E22:E24)*(1+'Fane 15. Nøgletal'!C15)^4</f>
        <v>307707.67510543938</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z0WUd5tGf8CUQz+NaI97GZqsP5iScTlAWAV7WvYDJFRBQSGXn1v+nB07Hz9PN2Qs4CI9RguOzXDTcz1i9cQZg==" saltValue="uNgYzB/oHI8LM5aF055Rq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140625" style="2" customWidth="1"/>
    <col min="2" max="2" width="42.28515625" style="2" customWidth="1"/>
    <col min="3" max="3" width="15.5703125" style="2" customWidth="1"/>
    <col min="4" max="4" width="3.28515625" style="2" customWidth="1"/>
    <col min="5" max="5" width="17.140625" style="2" customWidth="1"/>
    <col min="6" max="6" width="3.28515625" style="2" customWidth="1"/>
    <col min="7" max="7" width="2.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273</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VIl0n8lMkeJ3A4S+A0Pp9jBkdsksryoybVqWn4UHvXWx+kpV4C1yz/k3gNvIPys39BT5fOit5CSqxD/eaLlkQ==" saltValue="1i6oPp62qoSs72jikvKkA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KdRXiylRtoMcuU2I7Pety6ufHe7xjowSpa3ndRpIDOtMdUGI3DHApCdjb6iEB7572w39u9TUE8CJyX/19DwTQ==" saltValue="JGqgWnYfOkbN4Qh8i44JN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40051130.341835327</v>
      </c>
      <c r="D9" s="8" t="s">
        <v>3</v>
      </c>
      <c r="E9" s="1"/>
    </row>
    <row r="10" spans="1:5" ht="17.25" customHeight="1" x14ac:dyDescent="0.25">
      <c r="A10" s="1"/>
      <c r="B10" s="83" t="s">
        <v>39</v>
      </c>
      <c r="C10" s="7">
        <f>'Fane 11.1. Varige tillæg'!C13</f>
        <v>0</v>
      </c>
      <c r="D10" s="8" t="s">
        <v>3</v>
      </c>
      <c r="E10" s="1"/>
    </row>
    <row r="11" spans="1:5" ht="17.25" customHeight="1" x14ac:dyDescent="0.25">
      <c r="A11" s="1"/>
      <c r="B11" s="83" t="s">
        <v>40</v>
      </c>
      <c r="C11" s="9">
        <f>'Fane 11.1. Varige tillæg'!E13</f>
        <v>0</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132168.73012805657</v>
      </c>
      <c r="D16" s="8" t="s">
        <v>3</v>
      </c>
      <c r="E16" s="1"/>
    </row>
    <row r="17" spans="1:5" ht="17.25" customHeight="1" x14ac:dyDescent="0.25">
      <c r="A17" s="1"/>
      <c r="B17" s="83" t="s">
        <v>10</v>
      </c>
      <c r="C17" s="44">
        <f>-SUM(C9,C10:C16)*'Fane 5. Individuelt eff. krav'!G9</f>
        <v>-803665.98143926775</v>
      </c>
      <c r="D17" s="8" t="s">
        <v>3</v>
      </c>
      <c r="E17" s="1"/>
    </row>
    <row r="18" spans="1:5" ht="17.25" customHeight="1" x14ac:dyDescent="0.25">
      <c r="A18" s="1"/>
      <c r="B18" s="83" t="s">
        <v>24</v>
      </c>
      <c r="C18" s="44">
        <f>-'Fane 4.1. Gen. krav - drift'!G45</f>
        <v>-484736.61901348724</v>
      </c>
      <c r="D18" s="8" t="s">
        <v>3</v>
      </c>
      <c r="E18" s="1"/>
    </row>
    <row r="19" spans="1:5" ht="17.25" customHeight="1" x14ac:dyDescent="0.25">
      <c r="A19" s="1"/>
      <c r="B19" s="83" t="s">
        <v>25</v>
      </c>
      <c r="C19" s="44">
        <f>-'Fane 4.2. Gen. krav - anlæg'!G43</f>
        <v>-251388.68711740026</v>
      </c>
      <c r="D19" s="8" t="s">
        <v>3</v>
      </c>
      <c r="E19" s="48"/>
    </row>
    <row r="20" spans="1:5" ht="17.25" customHeight="1" x14ac:dyDescent="0.25">
      <c r="A20" s="1"/>
      <c r="B20" s="89" t="s">
        <v>21</v>
      </c>
      <c r="C20" s="10">
        <f>SUM(C9:C19)</f>
        <v>38643507.784393229</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4496051.2899600007</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286915.65504188341</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-1856545.1543813832</v>
      </c>
      <c r="D32" s="11" t="s">
        <v>3</v>
      </c>
      <c r="E32" s="1"/>
    </row>
    <row r="33" spans="1:5" ht="15" customHeight="1" x14ac:dyDescent="0.25">
      <c r="A33" s="1"/>
      <c r="B33" s="32" t="s">
        <v>185</v>
      </c>
      <c r="C33" s="27"/>
      <c r="D33" s="19"/>
      <c r="E33" s="1"/>
    </row>
    <row r="34" spans="1:5" x14ac:dyDescent="0.25">
      <c r="A34" s="1"/>
      <c r="B34" s="30" t="s">
        <v>185</v>
      </c>
      <c r="C34" s="10">
        <f>'Fane 9. Korrektion af ØR2021'!E17</f>
        <v>-437807.61267369078</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41132121.962340042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JcYYzqLFLxsdmRb6b4nvqyqN3BZgwrwoq4XDHaOAqSAqJUycZMNJbf4ZWXOf0mHsX3GgKlnr6fi+LV6NVPdeQ==" saltValue="uyIRnxiWfBCxFHzY7i04v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RBtP08UIJFZkpvZmq6OrGHMUTt7A52n+saRVgn6hz9OMkQ1lSC/VLzMWU6NnVsQ79TY7YIKphzN5vSqMWiOHvg==" saltValue="NGCBel2Sn0QrAQ5LSdlov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38643507.784393229</v>
      </c>
      <c r="D9" s="8" t="s">
        <v>3</v>
      </c>
      <c r="E9" s="1"/>
    </row>
    <row r="10" spans="1:5" ht="15" customHeight="1" x14ac:dyDescent="0.25">
      <c r="A10" s="1"/>
      <c r="B10" s="25" t="s">
        <v>19</v>
      </c>
      <c r="C10" s="7">
        <f>SUM(C9:C9)*'Fane 15. Nøgletal'!C15</f>
        <v>1375708.8771243989</v>
      </c>
      <c r="D10" s="8" t="s">
        <v>3</v>
      </c>
      <c r="E10" s="1"/>
    </row>
    <row r="11" spans="1:5" ht="15" customHeight="1" x14ac:dyDescent="0.25">
      <c r="A11" s="1"/>
      <c r="B11" s="25" t="s">
        <v>10</v>
      </c>
      <c r="C11" s="9">
        <f>-SUM(C9:C10)*'Fane 5. Individuelt eff. krav'!G9</f>
        <v>-800384.33323035261</v>
      </c>
      <c r="D11" s="8" t="s">
        <v>3</v>
      </c>
      <c r="E11" s="1"/>
    </row>
    <row r="12" spans="1:5" ht="15" customHeight="1" x14ac:dyDescent="0.25">
      <c r="A12" s="1"/>
      <c r="B12" s="25" t="s">
        <v>24</v>
      </c>
      <c r="C12" s="9">
        <f>-'Fane 4.1. Gen. krav - drift'!G53</f>
        <v>-491953.37779736007</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38726878.950489916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4656110.715882577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297129.85236137448</v>
      </c>
      <c r="D18" s="11" t="s">
        <v>3</v>
      </c>
      <c r="E18" s="1"/>
    </row>
    <row r="19" spans="1:5" x14ac:dyDescent="0.25">
      <c r="A19" s="1"/>
      <c r="B19" s="32" t="s">
        <v>143</v>
      </c>
      <c r="C19" s="27"/>
      <c r="D19" s="19"/>
      <c r="E19" s="1"/>
    </row>
    <row r="20" spans="1:5" ht="15" customHeight="1" x14ac:dyDescent="0.25">
      <c r="A20" s="1"/>
      <c r="B20" s="30" t="s">
        <v>180</v>
      </c>
      <c r="C20" s="10">
        <f>'Fane 7. Kontrol af ØR2021'!E34</f>
        <v>-130966.22408139892</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43549153.294652469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dVbvs73fOkOem3QgZSpt0ylEEd2JQ0H9ZFy0mqlUCW2Q4H/0Vv/2MKIYqKoFWbzfdtzHiEQbOU0Kx2F77mJU2A==" saltValue="8tO/bDKbx6B1hYnS4Z5Kn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38726878.950489916</v>
      </c>
      <c r="D9" s="8" t="s">
        <v>3</v>
      </c>
      <c r="E9" s="1"/>
    </row>
    <row r="10" spans="1:5" ht="15" customHeight="1" x14ac:dyDescent="0.25">
      <c r="A10" s="1"/>
      <c r="B10" s="25" t="s">
        <v>19</v>
      </c>
      <c r="C10" s="7">
        <f>SUM(C9:C9)*'Fane 15. Nøgletal'!C15</f>
        <v>1378676.8906374411</v>
      </c>
      <c r="D10" s="8" t="s">
        <v>3</v>
      </c>
      <c r="E10" s="1"/>
    </row>
    <row r="11" spans="1:5" ht="15" customHeight="1" x14ac:dyDescent="0.25">
      <c r="A11" s="1"/>
      <c r="B11" s="25" t="s">
        <v>10</v>
      </c>
      <c r="C11" s="9">
        <f>-SUM(C9:C10)*'Fane 5. Individuelt eff. krav'!G9</f>
        <v>-802111.11682254716</v>
      </c>
      <c r="D11" s="8" t="s">
        <v>3</v>
      </c>
      <c r="E11" s="1"/>
    </row>
    <row r="12" spans="1:5" ht="15" customHeight="1" x14ac:dyDescent="0.25">
      <c r="A12" s="1"/>
      <c r="B12" s="25" t="s">
        <v>24</v>
      </c>
      <c r="C12" s="9">
        <f>-'Fane 4.1. Gen. krav - drift'!G58</f>
        <v>-499277.57968600711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38804167.144618802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4821868.2573679965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307707.67510543938</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-130966.22408139892</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43802776.853010841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4XxABgKLr2gsZGp42+KlI4SqJmLb9jzlsH0ta+SJKiKTJH96yxHPzdZfs8QLavTXN62a0EktdNvlBDAXrqfuA==" saltValue="6T0lVMdf+e7/B7QQrc4CO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38804167.144618802</v>
      </c>
      <c r="D9" s="8" t="s">
        <v>3</v>
      </c>
      <c r="E9" s="1"/>
    </row>
    <row r="10" spans="1:5" ht="15" customHeight="1" x14ac:dyDescent="0.25">
      <c r="A10" s="1"/>
      <c r="B10" s="25" t="s">
        <v>19</v>
      </c>
      <c r="C10" s="7">
        <f>SUM(C9:C9)*'Fane 15. Nøgletal'!C15</f>
        <v>1381428.3503484293</v>
      </c>
      <c r="D10" s="8" t="s">
        <v>3</v>
      </c>
      <c r="E10" s="1"/>
    </row>
    <row r="11" spans="1:5" ht="15" customHeight="1" x14ac:dyDescent="0.25">
      <c r="A11" s="1"/>
      <c r="B11" s="25" t="s">
        <v>10</v>
      </c>
      <c r="C11" s="9">
        <f>-SUM(C9:C10)*'Fane 5. Individuelt eff. krav'!G9</f>
        <v>-803711.90989934467</v>
      </c>
      <c r="D11" s="8" t="s">
        <v>3</v>
      </c>
      <c r="E11" s="1"/>
    </row>
    <row r="12" spans="1:5" ht="15" customHeight="1" x14ac:dyDescent="0.25">
      <c r="A12" s="1"/>
      <c r="B12" s="25" t="s">
        <v>24</v>
      </c>
      <c r="C12" s="9">
        <f>-'Fane 4.1. Gen. krav - drift'!G63</f>
        <v>-506710.82429237239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38875172.760775514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4993526.7673302982</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-130966.22408139892</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43737733.304024413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Zy4tC0q64UPTJIswJZmSSIH7qjJOGguyNAw5vdik70CO3ADxEHTT+sO6zAXSduy/+WX1E6mmPH86x1F1eM2g==" saltValue="riDzDfrsTj9P6u5Kqc8VX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0" t="s">
        <v>192</v>
      </c>
      <c r="C9" s="131"/>
      <c r="D9" s="132"/>
      <c r="E9" s="7">
        <v>40165433.060141243</v>
      </c>
      <c r="F9" s="8" t="s">
        <v>3</v>
      </c>
      <c r="G9" s="1"/>
    </row>
    <row r="10" spans="1:7" ht="15" customHeight="1" x14ac:dyDescent="0.25">
      <c r="A10" s="1"/>
      <c r="B10" s="121" t="s">
        <v>39</v>
      </c>
      <c r="C10" s="122"/>
      <c r="D10" s="123"/>
      <c r="E10" s="7">
        <v>1202063.763</v>
      </c>
      <c r="F10" s="8" t="s">
        <v>3</v>
      </c>
      <c r="G10" s="1"/>
    </row>
    <row r="11" spans="1:7" ht="15" customHeight="1" x14ac:dyDescent="0.25">
      <c r="A11" s="1"/>
      <c r="B11" s="121" t="s">
        <v>40</v>
      </c>
      <c r="C11" s="122"/>
      <c r="D11" s="123"/>
      <c r="E11" s="9">
        <v>126652.5788</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136930.69302640608</v>
      </c>
      <c r="F16" s="8" t="s">
        <v>3</v>
      </c>
      <c r="G16" s="1"/>
    </row>
    <row r="17" spans="1:7" ht="15" customHeight="1" x14ac:dyDescent="0.25">
      <c r="A17" s="1"/>
      <c r="B17" s="130" t="s">
        <v>10</v>
      </c>
      <c r="C17" s="131"/>
      <c r="D17" s="132"/>
      <c r="E17" s="9">
        <v>-832621.60189935297</v>
      </c>
      <c r="F17" s="8" t="s">
        <v>3</v>
      </c>
      <c r="G17" s="1"/>
    </row>
    <row r="18" spans="1:7" ht="15" customHeight="1" x14ac:dyDescent="0.25">
      <c r="A18" s="1"/>
      <c r="B18" s="130" t="s">
        <v>24</v>
      </c>
      <c r="C18" s="131"/>
      <c r="D18" s="132"/>
      <c r="E18" s="9">
        <f>-'Fane 4.1. Gen. krav - drift'!G39</f>
        <v>-493002.29549983755</v>
      </c>
      <c r="F18" s="8" t="s">
        <v>3</v>
      </c>
      <c r="G18" s="1"/>
    </row>
    <row r="19" spans="1:7" ht="15" customHeight="1" x14ac:dyDescent="0.25">
      <c r="A19" s="1"/>
      <c r="B19" s="130" t="s">
        <v>25</v>
      </c>
      <c r="C19" s="131"/>
      <c r="D19" s="132"/>
      <c r="E19" s="9">
        <f>-'Fane 4.2. Gen. krav - anlæg'!G37</f>
        <v>-254325.85573312524</v>
      </c>
      <c r="F19" s="8" t="s">
        <v>3</v>
      </c>
      <c r="G19" s="1"/>
    </row>
    <row r="20" spans="1:7" ht="15" customHeight="1" x14ac:dyDescent="0.25">
      <c r="A20" s="1"/>
      <c r="B20" s="54" t="s">
        <v>21</v>
      </c>
      <c r="C20" s="90"/>
      <c r="D20" s="96"/>
      <c r="E20" s="51">
        <f>SUM(E9:E19)</f>
        <v>40051130.341835327</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3465875.0413005706</v>
      </c>
      <c r="F22" s="11" t="s">
        <v>3</v>
      </c>
      <c r="G22" s="1"/>
    </row>
    <row r="23" spans="1:7" ht="15" customHeight="1" x14ac:dyDescent="0.25">
      <c r="A23" s="1"/>
      <c r="B23" s="127" t="s">
        <v>86</v>
      </c>
      <c r="C23" s="128"/>
      <c r="D23" s="129"/>
      <c r="E23" s="27"/>
      <c r="F23" s="27"/>
      <c r="G23" s="1"/>
    </row>
    <row r="24" spans="1:7" ht="15" customHeight="1" x14ac:dyDescent="0.25">
      <c r="A24" s="1"/>
      <c r="B24" s="89" t="s">
        <v>86</v>
      </c>
      <c r="C24" s="37"/>
      <c r="D24" s="38"/>
      <c r="E24" s="10">
        <v>266051.34168386576</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2152352.1550032101</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-1856545.1543813832</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270000</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44348863.72544159</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M3869PYb0ONTV9nF4ALmaT1yksaah7qCajLzlcrLQsC3baB/EY8Sf1SHky9UH8cVXqDDRVvFycj8TLJf40uXuQ==" saltValue="v46SubrjfAkMl4IGQYvOf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28515625" style="2" customWidth="1"/>
    <col min="2" max="5" width="9.140625" style="2"/>
    <col min="6" max="6" width="24" style="2" customWidth="1"/>
    <col min="7" max="7" width="16.28515625" style="2" customWidth="1"/>
    <col min="8" max="8" width="3.42578125" style="2" customWidth="1"/>
    <col min="9" max="9" width="2.140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23851367.769403886</v>
      </c>
      <c r="H5" s="14" t="s">
        <v>3</v>
      </c>
      <c r="I5" s="1"/>
    </row>
    <row r="6" spans="1:9" x14ac:dyDescent="0.25">
      <c r="A6" s="1"/>
      <c r="B6" s="130" t="s">
        <v>120</v>
      </c>
      <c r="C6" s="131"/>
      <c r="D6" s="131"/>
      <c r="E6" s="131"/>
      <c r="F6" s="132"/>
      <c r="G6" s="77">
        <v>260945</v>
      </c>
      <c r="H6" s="14" t="s">
        <v>3</v>
      </c>
      <c r="I6" s="1"/>
    </row>
    <row r="7" spans="1:9" x14ac:dyDescent="0.25">
      <c r="A7" s="1"/>
      <c r="B7" s="137" t="s">
        <v>42</v>
      </c>
      <c r="C7" s="138"/>
      <c r="D7" s="138"/>
      <c r="E7" s="138"/>
      <c r="F7" s="139"/>
      <c r="G7" s="76">
        <f>SUM(G5:G6)*'Fane 15. Nøgletal'!C31</f>
        <v>482246.25538807776</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23778081.140511088</v>
      </c>
      <c r="H11" s="14" t="s">
        <v>3</v>
      </c>
      <c r="I11" s="1"/>
    </row>
    <row r="12" spans="1:9" ht="15" customHeight="1" x14ac:dyDescent="0.25">
      <c r="A12" s="1"/>
      <c r="B12" s="137" t="s">
        <v>121</v>
      </c>
      <c r="C12" s="138"/>
      <c r="D12" s="138"/>
      <c r="E12" s="138"/>
      <c r="F12" s="139"/>
      <c r="G12" s="77">
        <v>172561.27396173589</v>
      </c>
      <c r="H12" s="14" t="s">
        <v>3</v>
      </c>
      <c r="I12" s="1"/>
    </row>
    <row r="13" spans="1:9" x14ac:dyDescent="0.25">
      <c r="A13" s="1"/>
      <c r="B13" s="130" t="s">
        <v>118</v>
      </c>
      <c r="C13" s="131"/>
      <c r="D13" s="131"/>
      <c r="E13" s="131"/>
      <c r="F13" s="132"/>
      <c r="G13" s="77">
        <v>265510.63979180605</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484323.0610852926</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23876979.942071818</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477539.59884143638</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23860409.31799202</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477208.18635984045</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23843850.193925332</v>
      </c>
      <c r="H31" s="14" t="s">
        <v>3</v>
      </c>
      <c r="I31" s="1"/>
    </row>
    <row r="32" spans="1:9" x14ac:dyDescent="0.25">
      <c r="A32" s="1"/>
      <c r="B32" s="137" t="s">
        <v>137</v>
      </c>
      <c r="C32" s="138"/>
      <c r="D32" s="138"/>
      <c r="E32" s="138"/>
      <c r="F32" s="139"/>
      <c r="G32" s="76">
        <v>0</v>
      </c>
      <c r="H32" s="14" t="s">
        <v>3</v>
      </c>
      <c r="I32" s="1"/>
    </row>
    <row r="33" spans="1:9" x14ac:dyDescent="0.25">
      <c r="A33" s="1"/>
      <c r="B33" s="137" t="s">
        <v>60</v>
      </c>
      <c r="C33" s="138"/>
      <c r="D33" s="138"/>
      <c r="E33" s="138"/>
      <c r="F33" s="139"/>
      <c r="G33" s="76">
        <f>(G31+G32)*'Fane 15. Nøgletal'!C31</f>
        <v>476877.00387850666</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23444084.201573979</v>
      </c>
      <c r="H37" s="14" t="s">
        <v>3</v>
      </c>
      <c r="I37" s="1"/>
    </row>
    <row r="38" spans="1:9" x14ac:dyDescent="0.25">
      <c r="A38" s="1"/>
      <c r="B38" s="137" t="s">
        <v>164</v>
      </c>
      <c r="C38" s="138"/>
      <c r="D38" s="138"/>
      <c r="E38" s="138"/>
      <c r="F38" s="139"/>
      <c r="G38" s="76">
        <v>1206030.5734179001</v>
      </c>
      <c r="H38" s="14" t="s">
        <v>3</v>
      </c>
      <c r="I38" s="1"/>
    </row>
    <row r="39" spans="1:9" x14ac:dyDescent="0.25">
      <c r="A39" s="1"/>
      <c r="B39" s="137" t="s">
        <v>162</v>
      </c>
      <c r="C39" s="138"/>
      <c r="D39" s="138"/>
      <c r="E39" s="138"/>
      <c r="F39" s="139"/>
      <c r="G39" s="76">
        <f>(G37+G38)*'Fane 15. Nøgletal'!C31</f>
        <v>493002.29549983755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24236830.950674362</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0</v>
      </c>
      <c r="H44" s="14" t="s">
        <v>3</v>
      </c>
      <c r="I44" s="1"/>
    </row>
    <row r="45" spans="1:9" x14ac:dyDescent="0.25">
      <c r="A45" s="1"/>
      <c r="B45" s="137" t="s">
        <v>163</v>
      </c>
      <c r="C45" s="138"/>
      <c r="D45" s="138"/>
      <c r="E45" s="138"/>
      <c r="F45" s="139"/>
      <c r="G45" s="76">
        <f>SUM(G43:G44)*'Fane 15. Nøgletal'!C31</f>
        <v>484736.61901348724</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24597668.889868002</v>
      </c>
      <c r="H52" s="14" t="s">
        <v>3</v>
      </c>
      <c r="I52" s="1"/>
    </row>
    <row r="53" spans="1:9" x14ac:dyDescent="0.25">
      <c r="A53" s="1"/>
      <c r="B53" s="137" t="s">
        <v>138</v>
      </c>
      <c r="C53" s="138"/>
      <c r="D53" s="138"/>
      <c r="E53" s="138"/>
      <c r="F53" s="139"/>
      <c r="G53" s="76">
        <f>(G52)*'Fane 15. Nøgletal'!C31</f>
        <v>491953.37779736007</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24963878.984300356</v>
      </c>
      <c r="H57" s="14" t="s">
        <v>3</v>
      </c>
      <c r="I57" s="1"/>
    </row>
    <row r="58" spans="1:9" x14ac:dyDescent="0.25">
      <c r="A58" s="1"/>
      <c r="B58" s="91" t="s">
        <v>152</v>
      </c>
      <c r="C58" s="92"/>
      <c r="D58" s="92"/>
      <c r="E58" s="92"/>
      <c r="F58" s="93"/>
      <c r="G58" s="76">
        <f>(G57)*'Fane 15. Nøgletal'!C31</f>
        <v>499277.57968600711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25335541.21461862</v>
      </c>
      <c r="H62" s="14" t="s">
        <v>3</v>
      </c>
      <c r="I62" s="1"/>
    </row>
    <row r="63" spans="1:9" x14ac:dyDescent="0.25">
      <c r="A63" s="1"/>
      <c r="B63" s="91" t="s">
        <v>195</v>
      </c>
      <c r="C63" s="92"/>
      <c r="D63" s="92"/>
      <c r="E63" s="92"/>
      <c r="F63" s="93"/>
      <c r="G63" s="76">
        <f>(G62)*'Fane 15. Nøgletal'!C31</f>
        <v>506710.82429237239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0NV+Iss8lM0DZmI289+hY0DmnzD2+YyIsxwAdcxdzWcaUpZ25Boi62uqwznP3TLETHzMIVP+GY3XS9B3OSqfig==" saltValue="yatkEiAR8aqMebR6bPTxJ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42578125" style="2" customWidth="1"/>
    <col min="2" max="5" width="9.140625" style="2"/>
    <col min="6" max="6" width="27.5703125" style="2" customWidth="1"/>
    <col min="7" max="7" width="14.140625" style="2" customWidth="1"/>
    <col min="8" max="8" width="3.28515625" style="2" customWidth="1"/>
    <col min="9" max="9" width="2.42578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17436331.202303279</v>
      </c>
      <c r="H5" s="14" t="s">
        <v>3</v>
      </c>
      <c r="I5" s="1"/>
    </row>
    <row r="6" spans="1:9" x14ac:dyDescent="0.25">
      <c r="A6" s="1"/>
      <c r="B6" s="137" t="s">
        <v>57</v>
      </c>
      <c r="C6" s="138"/>
      <c r="D6" s="138"/>
      <c r="E6" s="138"/>
      <c r="F6" s="139"/>
      <c r="G6" s="76">
        <f>G5*'Fane 15. Nøgletal'!C20</f>
        <v>158670.61394095985</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17580019.648658659</v>
      </c>
      <c r="H10" s="14" t="s">
        <v>3</v>
      </c>
      <c r="I10" s="1"/>
    </row>
    <row r="11" spans="1:9" x14ac:dyDescent="0.25">
      <c r="A11" s="1"/>
      <c r="B11" s="137" t="s">
        <v>122</v>
      </c>
      <c r="C11" s="138"/>
      <c r="D11" s="138"/>
      <c r="E11" s="138"/>
      <c r="F11" s="139"/>
      <c r="G11" s="76">
        <v>-60375.032856828257</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310097.70969969238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17510713.976958923</v>
      </c>
      <c r="H17" s="14" t="s">
        <v>3</v>
      </c>
      <c r="I17" s="1"/>
    </row>
    <row r="18" spans="1:9" x14ac:dyDescent="0.25">
      <c r="A18" s="1"/>
      <c r="B18" s="140" t="s">
        <v>68</v>
      </c>
      <c r="C18" s="141"/>
      <c r="D18" s="141"/>
      <c r="E18" s="141"/>
      <c r="F18" s="142"/>
      <c r="G18" s="76">
        <v>33244.818275889993</v>
      </c>
      <c r="H18" s="14" t="s">
        <v>3</v>
      </c>
      <c r="I18" s="1"/>
    </row>
    <row r="19" spans="1:9" x14ac:dyDescent="0.25">
      <c r="A19" s="1"/>
      <c r="B19" s="137" t="s">
        <v>69</v>
      </c>
      <c r="C19" s="138"/>
      <c r="D19" s="138"/>
      <c r="E19" s="138"/>
      <c r="F19" s="139"/>
      <c r="G19" s="76">
        <f>G17*'Fane 15. Nøgletal'!C21+G18*'Fane 15. Nøgletal'!C22</f>
        <v>310228.86731117318</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17573234.407503739</v>
      </c>
      <c r="H23" s="14" t="s">
        <v>3</v>
      </c>
      <c r="I23" s="1"/>
    </row>
    <row r="24" spans="1:9" x14ac:dyDescent="0.25">
      <c r="A24" s="1"/>
      <c r="B24" s="140" t="s">
        <v>72</v>
      </c>
      <c r="C24" s="141"/>
      <c r="D24" s="141"/>
      <c r="E24" s="141"/>
      <c r="F24" s="142"/>
      <c r="G24" s="76">
        <v>0</v>
      </c>
      <c r="H24" s="14" t="s">
        <v>3</v>
      </c>
      <c r="I24" s="1"/>
    </row>
    <row r="25" spans="1:9" x14ac:dyDescent="0.25">
      <c r="A25" s="1"/>
      <c r="B25" s="137" t="s">
        <v>73</v>
      </c>
      <c r="C25" s="138"/>
      <c r="D25" s="138"/>
      <c r="E25" s="138"/>
      <c r="F25" s="139"/>
      <c r="G25" s="76">
        <f>(G23+G24)*'Fane 15. Nøgletal'!C23</f>
        <v>499079.85717310623</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17410515.394972146</v>
      </c>
      <c r="H29" s="14" t="s">
        <v>3</v>
      </c>
      <c r="I29" s="1"/>
    </row>
    <row r="30" spans="1:9" x14ac:dyDescent="0.25">
      <c r="A30" s="1"/>
      <c r="B30" s="137" t="s">
        <v>139</v>
      </c>
      <c r="C30" s="138"/>
      <c r="D30" s="138"/>
      <c r="E30" s="138"/>
      <c r="F30" s="139"/>
      <c r="G30" s="76">
        <v>87350.98500072</v>
      </c>
      <c r="H30" s="14" t="s">
        <v>3</v>
      </c>
      <c r="I30" s="1"/>
    </row>
    <row r="31" spans="1:9" x14ac:dyDescent="0.25">
      <c r="A31" s="1"/>
      <c r="B31" s="137" t="s">
        <v>76</v>
      </c>
      <c r="C31" s="138"/>
      <c r="D31" s="138"/>
      <c r="E31" s="138"/>
      <c r="F31" s="139"/>
      <c r="G31" s="76">
        <f>G29*'Fane 15. Nøgletal'!C23+G30*'Fane 15. Nøgletal'!C24</f>
        <v>496860.78930472879</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17057108.909117341</v>
      </c>
      <c r="H35" s="14" t="s">
        <v>3</v>
      </c>
      <c r="I35" s="1"/>
    </row>
    <row r="36" spans="1:9" x14ac:dyDescent="0.25">
      <c r="A36" s="1"/>
      <c r="B36" s="137" t="s">
        <v>167</v>
      </c>
      <c r="C36" s="138"/>
      <c r="D36" s="138"/>
      <c r="E36" s="138"/>
      <c r="F36" s="139"/>
      <c r="G36" s="76">
        <v>127070.53231004001</v>
      </c>
      <c r="H36" s="14" t="s">
        <v>3</v>
      </c>
      <c r="I36" s="1"/>
    </row>
    <row r="37" spans="1:9" x14ac:dyDescent="0.25">
      <c r="A37" s="1"/>
      <c r="B37" s="137" t="s">
        <v>166</v>
      </c>
      <c r="C37" s="138"/>
      <c r="D37" s="138"/>
      <c r="E37" s="138"/>
      <c r="F37" s="139"/>
      <c r="G37" s="76">
        <f>(G35+G36)*'Fane 15. Nøgletal'!C25</f>
        <v>254325.85573312524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16985722.102527045</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37" t="s">
        <v>168</v>
      </c>
      <c r="C43" s="138"/>
      <c r="D43" s="138"/>
      <c r="E43" s="138"/>
      <c r="F43" s="139"/>
      <c r="G43" s="76">
        <f>(G41)*'Fane 15. Nøgletal'!C25+G42*'Fane 15. Nøgletal'!C26</f>
        <v>251388.68711740026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17330075.684998229</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17947026.379384167</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18585940.518490244</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wrU2H2bCYXdF4dHFxTWhO6wCZzUo+DFkEF0KlqPtTUy/BLITqeTQqSCey4KsrVzwFLzGsTWEeiBN56pdyAZFkA==" saltValue="GVsh8g44BGCbYkDnItSxc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7" t="s">
        <v>154</v>
      </c>
      <c r="C9" s="138"/>
      <c r="D9" s="138"/>
      <c r="E9" s="138"/>
      <c r="F9" s="139"/>
      <c r="G9" s="35">
        <v>0.02</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OqPatTYY2ipzD8RLtz55eBQFHBJ4bFJTIxnTB6Hav0XIsDnR4qkEtV3UHKXxhiM1XDgQ/tatjUKZ32RO9QL01g==" saltValue="wVAGDizx2RKZslxkzmGUi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2022-12-01T08:20:11Z</dcterms:modified>
</cp:coreProperties>
</file>