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Syddjurs Spildevand AS (S092)\ØR2024\"/>
    </mc:Choice>
  </mc:AlternateContent>
  <xr:revisionPtr revIDLastSave="0" documentId="13_ncr:1_{9B81D1C7-F257-42EE-A484-C3B15E5ABFF8}"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8" i="44" s="1"/>
  <c r="E17" i="44"/>
  <c r="E25" i="44" l="1"/>
  <c r="E29" i="44" s="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<sst xmlns="http://schemas.openxmlformats.org/spreadsheetml/2006/main" count="655" uniqueCount="291">
  <si>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</si>
  <si>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</si>
  <si>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</si>
  <si>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</si>
  <si>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</si>
  <si>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</si>
  <si>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</si>
  <si>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</si>
  <si>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</si>
  <si>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</si>
  <si>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</si>
  <si>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</si>
  <si>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</si>
  <si>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</si>
  <si>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</si>
  <si>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</si>
  <si>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</si>
  <si>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</si>
  <si>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</si>
  <si>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</si>
  <si>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</si>
  <si>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</si>
  <si>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</si>
  <si>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</si>
  <si>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</si>
  <si>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</si>
  <si>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</si>
  <si>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</si>
  <si>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</si>
  <si>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</si>
  <si>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</si>
  <si>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</si>
  <si>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</si>
  <si>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</si>
  <si>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</si>
  <si>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</si>
  <si>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</si>
  <si>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</si>
  <si>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</si>
  <si>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</si>
  <si>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</si>
  <si>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</si>
  <si>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</si>
  <si>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</si>
  <si>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</si>
  <si>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</si>
  <si>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</si>
  <si>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</si>
  <si>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</si>
  <si>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</si>
  <si>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</si>
  <si>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</si>
  <si>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</si>
  <si>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</si>
  <si>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</si>
  <si>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</si>
  <si>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</si>
  <si>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</si>
  <si>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</si>
  <si>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</si>
  <si>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</si>
  <si>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</si>
  <si>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</si>
  <si>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</si>
  <si>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</si>
  <si>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</si>
  <si>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</si>
  <si>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</si>
  <si>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</si>
  <si>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</si>
  <si>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</si>
  <si>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</si>
  <si>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</si>
  <si>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</si>
  <si>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</si>
  <si>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</si>
  <si>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</si>
  <si>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</si>
  <si>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</si>
  <si>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</si>
  <si>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</si>
  <si>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</si>
  <si>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</si>
  <si>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</si>
  <si>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</si>
  <si>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</si>
  <si>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</si>
  <si>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</si>
  <si>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</si>
  <si>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</si>
  <si>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</si>
  <si>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</si>
  <si>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</si>
  <si>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</si>
  <si>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</si>
  <si>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</si>
  <si>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</si>
  <si>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</si>
  <si>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</si>
  <si>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</si>
  <si>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</si>
  <si>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</si>
  <si>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</si>
  <si>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</si>
  <si>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</si>
  <si>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</si>
  <si>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</si>
  <si>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</si>
  <si>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</si>
  <si>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</si>
  <si>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</si>
  <si>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</si>
  <si>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</si>
  <si>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</si>
  <si>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</si>
  <si>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</si>
  <si>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</si>
  <si>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</si>
  <si>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</si>
  <si>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</si>
  <si>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</si>
  <si>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</si>
  <si>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</si>
  <si>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</si>
  <si>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</si>
  <si>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</si>
  <si>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</si>
  <si>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</si>
  <si>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</si>
  <si>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</si>
  <si>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</si>
  <si>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</si>
  <si>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</si>
  <si>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</si>
  <si>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</si>
  <si>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</si>
  <si>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</si>
  <si>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</si>
  <si>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</si>
  <si>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</si>
  <si>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</si>
  <si>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</si>
  <si>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</si>
  <si>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</si>
  <si>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</si>
  <si>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</si>
  <si>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</si>
  <si>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</si>
  <si>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</si>
  <si>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</si>
  <si>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</si>
  <si>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</si>
  <si>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</si>
  <si>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</si>
  <si>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</si>
  <si>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</si>
  <si>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</si>
  <si>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</si>
  <si>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</si>
  <si>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</si>
  <si>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</si>
  <si>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</si>
  <si>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</si>
  <si>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</si>
  <si>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</si>
  <si>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</si>
  <si>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</si>
  <si>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</si>
  <si>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</si>
  <si>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</si>
  <si>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</si>
  <si>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</si>
  <si>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</si>
  <si>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</si>
  <si>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</si>
  <si>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</si>
  <si>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</si>
  <si>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</si>
  <si>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</si>
  <si>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</si>
  <si>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</si>
  <si>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</si>
  <si>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</si>
  <si>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</si>
  <si>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</si>
  <si>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</si>
  <si>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</si>
  <si>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</si>
  <si>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</si>
  <si>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</si>
  <si>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</si>
  <si>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</si>
  <si>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</si>
  <si>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</si>
  <si>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</si>
  <si>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</si>
  <si>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</si>
  <si>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</si>
  <si>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</si>
  <si>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</si>
  <si>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</si>
  <si>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</si>
  <si>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</si>
  <si>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</si>
  <si>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</si>
  <si>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</si>
  <si>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</si>
  <si>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</si>
  <si>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</si>
  <si>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</si>
  <si>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</si>
  <si>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</si>
  <si>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</si>
  <si>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</si>
  <si>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</si>
  <si>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</si>
  <si>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</si>
  <si>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</si>
  <si>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</si>
  <si>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</si>
  <si>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</si>
  <si>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</si>
  <si>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</si>
  <si>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</si>
  <si>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</si>
  <si>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</si>
  <si>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</si>
  <si>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</si>
  <si>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</si>
  <si>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</si>
  <si>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</si>
  <si>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</si>
  <si>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</si>
  <si>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</si>
  <si>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</si>
  <si>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</si>
  <si>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</si>
  <si>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</si>
  <si>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</si>
  <si>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</si>
  <si>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</si>
  <si>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</si>
  <si>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</si>
  <si>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</si>
  <si>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</si>
  <si>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</si>
  <si>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</si>
  <si>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</si>
  <si>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</si>
  <si>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</si>
  <si>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</si>
  <si>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</si>
  <si>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</si>
  <si>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</si>
  <si>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</si>
  <si>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</si>
  <si>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</si>
  <si>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</si>
  <si>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</si>
  <si>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</si>
  <si>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</si>
  <si>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</si>
  <si>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</si>
  <si>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</si>
  <si>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</si>
  <si>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</si>
  <si>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</si>
  <si>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</si>
  <si>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</si>
  <si>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</si>
  <si>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</si>
  <si>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</si>
  <si>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</si>
  <si>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</si>
  <si>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</si>
  <si>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</si>
  <si>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Undersøgelsesudgifter i forbindelse med fusion</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</si>
  <si>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</si>
  <si>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</si>
  <si>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</si>
  <si>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</si>
  <si>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</si>
  <si>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</si>
  <si>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</si>
  <si>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</si>
  <si>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</si>
  <si>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</si>
  <si>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</si>
  <si>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</si>
  <si>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Byggemodninger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</si>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</sst>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cz8fL+hZSbRXvxgn7bI36CUDplluw13xHO1rZogBcwEAtNT72AqkMGf8GT9kTWBSfmuc+lDel6UGMHuajGRhfg==" saltValue="16FA/facxdsipRvkXEv5j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272</v>
      </c>
      <c r="C10" s="9">
        <v>647965</v>
      </c>
      <c r="D10" s="14" t="s">
        <v>3</v>
      </c>
      <c r="E10" s="1"/>
      <c r="F10" s="1"/>
    </row>
    <row r="11" spans="1:6" ht="15" customHeight="1" x14ac:dyDescent="0.25">
      <c r="A11" s="1"/>
      <c r="B11" s="81" t="s">
        <v>273</v>
      </c>
      <c r="C11" s="9">
        <v>89996</v>
      </c>
      <c r="D11" s="14" t="s">
        <v>3</v>
      </c>
      <c r="E11" s="1"/>
      <c r="F11" s="1"/>
    </row>
    <row r="12" spans="1:6" ht="26.25" x14ac:dyDescent="0.25">
      <c r="A12" s="1"/>
      <c r="B12" s="29" t="s">
        <v>274</v>
      </c>
      <c r="C12" s="9">
        <v>4354209.58</v>
      </c>
      <c r="D12" s="14" t="s">
        <v>3</v>
      </c>
      <c r="E12" s="1"/>
      <c r="F12" s="1"/>
    </row>
    <row r="13" spans="1:6" x14ac:dyDescent="0.25">
      <c r="A13" s="1"/>
      <c r="B13" s="81" t="s">
        <v>275</v>
      </c>
      <c r="C13" s="9">
        <v>247099.83</v>
      </c>
      <c r="D13" s="14" t="s">
        <v>3</v>
      </c>
      <c r="E13" s="1"/>
      <c r="F13" s="1"/>
    </row>
    <row r="14" spans="1:6" x14ac:dyDescent="0.25">
      <c r="A14" s="1"/>
      <c r="B14" s="81" t="s">
        <v>276</v>
      </c>
      <c r="C14" s="9">
        <v>212484.79</v>
      </c>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5551755.2000000002</v>
      </c>
      <c r="D20" s="13" t="s">
        <v>3</v>
      </c>
      <c r="E20" s="1"/>
      <c r="F20" s="1"/>
    </row>
    <row r="21" spans="1:6" x14ac:dyDescent="0.25">
      <c r="A21" s="1"/>
      <c r="B21" s="33" t="s">
        <v>227</v>
      </c>
      <c r="C21" s="12">
        <f>C20*(1+'Fane 15. Nøgletal'!C16)^2</f>
        <v>6485164.2513889279</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wiLsd3aynONEMrtL0RV1NIFCZ/APXOdGJyLdVR1UMnQDm0qFKvNW8Xfo0a0icNamy3YB9qVskJmgf7b12pOxnQ==" saltValue="4vvW/nZRIpo058ynTFi/0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4AB2-9F96-4E34-9F59-6FC3DDB2B291}">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277</v>
      </c>
      <c r="C9" s="121"/>
      <c r="D9" s="122"/>
      <c r="E9" s="9">
        <v>12585749</v>
      </c>
      <c r="F9" s="14" t="s">
        <v>3</v>
      </c>
      <c r="G9" s="1"/>
    </row>
    <row r="10" spans="1:7" ht="15" customHeight="1" x14ac:dyDescent="0.25">
      <c r="A10" s="1"/>
      <c r="B10" s="120" t="s">
        <v>143</v>
      </c>
      <c r="C10" s="121"/>
      <c r="D10" s="122"/>
      <c r="E10" s="9">
        <v>8235007</v>
      </c>
      <c r="F10" s="14" t="s">
        <v>3</v>
      </c>
      <c r="G10" s="1"/>
    </row>
    <row r="11" spans="1:7" ht="15" customHeight="1" x14ac:dyDescent="0.25">
      <c r="A11" s="1"/>
      <c r="B11" s="120" t="s">
        <v>278</v>
      </c>
      <c r="C11" s="121"/>
      <c r="D11" s="122"/>
      <c r="E11" s="9">
        <v>5305535</v>
      </c>
      <c r="F11" s="14" t="s">
        <v>3</v>
      </c>
      <c r="G11" s="1"/>
    </row>
    <row r="12" spans="1:7" x14ac:dyDescent="0.25">
      <c r="A12" s="1"/>
      <c r="B12" s="33"/>
      <c r="C12" s="28"/>
      <c r="D12" s="28"/>
      <c r="E12" s="28"/>
      <c r="F12" s="19"/>
      <c r="G12" s="1"/>
    </row>
    <row r="13" spans="1:7" ht="42" customHeight="1" x14ac:dyDescent="0.25">
      <c r="A13" s="1"/>
      <c r="B13" s="114" t="s">
        <v>279</v>
      </c>
      <c r="C13" s="115"/>
      <c r="D13" s="115"/>
      <c r="E13" s="115"/>
      <c r="F13" s="116"/>
      <c r="G13" s="1"/>
    </row>
    <row r="14" spans="1:7" ht="15" customHeight="1" x14ac:dyDescent="0.25">
      <c r="A14" s="1"/>
      <c r="B14" s="1"/>
      <c r="C14" s="1"/>
      <c r="D14" s="1"/>
      <c r="E14" s="1"/>
      <c r="F14" s="1"/>
      <c r="G14" s="1"/>
    </row>
    <row r="15" spans="1:7" x14ac:dyDescent="0.25">
      <c r="A15" s="1"/>
      <c r="B15" s="75" t="s">
        <v>280</v>
      </c>
      <c r="C15" s="76"/>
      <c r="D15" s="76"/>
      <c r="E15" s="76"/>
      <c r="F15" s="77"/>
      <c r="G15" s="1"/>
    </row>
    <row r="16" spans="1:7" x14ac:dyDescent="0.25">
      <c r="A16" s="1"/>
      <c r="B16" s="78" t="s">
        <v>281</v>
      </c>
      <c r="C16" s="79"/>
      <c r="D16" s="80"/>
      <c r="E16" s="9">
        <f>IF(E11&lt;0,E11,0)</f>
        <v>0</v>
      </c>
      <c r="F16" s="14" t="s">
        <v>3</v>
      </c>
      <c r="G16" s="1"/>
    </row>
    <row r="17" spans="1:7" x14ac:dyDescent="0.25">
      <c r="A17" s="1"/>
      <c r="B17" s="78" t="s">
        <v>282</v>
      </c>
      <c r="C17" s="79"/>
      <c r="D17" s="80"/>
      <c r="E17" s="9">
        <f>IF(SUM(E10)&gt;0,SUM(E10),0)</f>
        <v>8235007</v>
      </c>
      <c r="F17" s="14" t="s">
        <v>3</v>
      </c>
      <c r="G17" s="1"/>
    </row>
    <row r="18" spans="1:7" x14ac:dyDescent="0.25">
      <c r="A18" s="1"/>
      <c r="B18" s="82" t="s">
        <v>283</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284</v>
      </c>
      <c r="C21" s="76"/>
      <c r="D21" s="76"/>
      <c r="E21" s="76"/>
      <c r="F21" s="77"/>
      <c r="G21" s="1"/>
    </row>
    <row r="22" spans="1:7" x14ac:dyDescent="0.25">
      <c r="A22" s="1"/>
      <c r="B22" s="78" t="s">
        <v>285</v>
      </c>
      <c r="C22" s="79"/>
      <c r="D22" s="80"/>
      <c r="E22" s="9">
        <v>83192397</v>
      </c>
      <c r="F22" s="14" t="s">
        <v>3</v>
      </c>
      <c r="G22" s="1"/>
    </row>
    <row r="23" spans="1:7" x14ac:dyDescent="0.25">
      <c r="A23" s="1"/>
      <c r="B23" s="78" t="s">
        <v>286</v>
      </c>
      <c r="C23" s="79"/>
      <c r="D23" s="80"/>
      <c r="E23" s="9">
        <v>85932557</v>
      </c>
      <c r="F23" s="14" t="s">
        <v>3</v>
      </c>
      <c r="G23" s="1"/>
    </row>
    <row r="24" spans="1:7" x14ac:dyDescent="0.25">
      <c r="A24" s="1"/>
      <c r="B24" s="78" t="s">
        <v>30</v>
      </c>
      <c r="C24" s="79"/>
      <c r="D24" s="80"/>
      <c r="E24" s="9"/>
      <c r="F24" s="14" t="s">
        <v>3</v>
      </c>
      <c r="G24" s="1"/>
    </row>
    <row r="25" spans="1:7" x14ac:dyDescent="0.25">
      <c r="A25" s="1"/>
      <c r="B25" s="82" t="s">
        <v>287</v>
      </c>
      <c r="C25" s="83"/>
      <c r="D25" s="84"/>
      <c r="E25" s="62">
        <f>E22-E23-E24</f>
        <v>-2740160</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288</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0</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0</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AJ4GiceVUFHOPlZ5pDAOJjPxnccjZLbfzf616TEnBiCjOx/0nhh6YhBtgoQ8l6vk4X3m6rFshZ0xbydeUHyQ==" saltValue="BtXUM+ZuJW8rSj1R/uENNg=="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N32qF45yzG538IRnS6uHPoFC4VmDstwp18HivlWwoZhGsArOGgPkmqRgUHVV6GGEL41PUO1v1UxNUmDe5GnTdA==" saltValue="QWSJhhtDTg80nosxCmT9w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0</v>
      </c>
      <c r="F14" s="8" t="s">
        <v>3</v>
      </c>
      <c r="G14" s="1"/>
    </row>
    <row r="15" spans="1:7" x14ac:dyDescent="0.25">
      <c r="A15" s="1"/>
      <c r="B15" s="114" t="s">
        <v>231</v>
      </c>
      <c r="C15" s="115"/>
      <c r="D15" s="116"/>
      <c r="E15" s="7">
        <v>0</v>
      </c>
      <c r="F15" s="8" t="s">
        <v>3</v>
      </c>
      <c r="G15" s="1"/>
    </row>
    <row r="16" spans="1:7" x14ac:dyDescent="0.25">
      <c r="A16" s="1"/>
      <c r="B16" s="135" t="s">
        <v>83</v>
      </c>
      <c r="C16" s="136"/>
      <c r="D16" s="137"/>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HXighCoyZxFcuU8sS+mzLwAZwHXnnFipFETYVTgUXhcbugp7eJZGoYVqSbm9kNDyOqrwFaQI0OgSem3kTzLYA==" saltValue="95gzrXGLBFOJ9A6UiR08M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NTzkWB48tiZOwA/1Hxp4CZZEr8VmUP8iVPKL1Cm4ISp/kCy0sIc7alTrR6/8ji2PGLbx3dBCX239mllSCoWMkw==" saltValue="nLWwvfDGdBeij9o/zZLXo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289</v>
      </c>
      <c r="C11" s="21">
        <v>493486</v>
      </c>
      <c r="D11" s="14" t="s">
        <v>3</v>
      </c>
      <c r="E11" s="9">
        <v>222038</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493486</v>
      </c>
      <c r="D19" s="13" t="s">
        <v>3</v>
      </c>
      <c r="E19" s="12">
        <f>SUM(E10:E18)</f>
        <v>222038</v>
      </c>
      <c r="F19" s="13" t="s">
        <v>3</v>
      </c>
      <c r="G19" s="1"/>
    </row>
    <row r="20" spans="1:7" x14ac:dyDescent="0.25">
      <c r="A20" s="1"/>
      <c r="B20" s="33" t="s">
        <v>233</v>
      </c>
      <c r="C20" s="12">
        <f>C19*(1+'Fane 15. Nøgletal'!C16)</f>
        <v>533359.66879999998</v>
      </c>
      <c r="D20" s="13" t="s">
        <v>3</v>
      </c>
      <c r="E20" s="12">
        <f>E19*(1+'Fane 15. Nøgletal'!C16)</f>
        <v>239978.6704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NdioDXPS2i4Qsz11JMRi6v3gLqJyfg4JmIqoW4CyDBLV45p/mLTD7dgdUdG62AVwbgbtK3lwMklttmzdQ9H0oQ==" saltValue="zWp8mYuf5awfajeVBvNoJ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t="s">
        <v>290</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IYpDBzgtAKXQrUp18QVuHJAaM/hygwVCERnbee38tgYWWhNdxAP+Jn4fyJwD4/fPMftUDZGhnrM56PuVvOVOQ==" saltValue="6qOnldAvGOMsCfWT9DPKn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7" t="s">
        <v>111</v>
      </c>
      <c r="C13" s="118"/>
      <c r="D13" s="119"/>
      <c r="E13" s="12">
        <f>SUM(E10:E12)*(1+'Fane 15. Nøgletal'!C16)^2</f>
        <v>0</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7" t="s">
        <v>125</v>
      </c>
      <c r="C19" s="118"/>
      <c r="D19" s="119"/>
      <c r="E19" s="12">
        <f>SUM(E16:E18)*(1+'Fane 15. Nøgletal'!C16)^3</f>
        <v>0</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7" t="s">
        <v>146</v>
      </c>
      <c r="C25" s="118"/>
      <c r="D25" s="119"/>
      <c r="E25" s="12">
        <f>SUM(E22:E24)*(1+'Fane 15. Nøgletal'!C16)^4</f>
        <v>0</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7" t="s">
        <v>238</v>
      </c>
      <c r="C31" s="118"/>
      <c r="D31" s="11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j+tJnKM8Sj42eTiYq1+d6QxKeprBa+aQYxMpI+LP2OWxbPl6g+yVXFqWUcStzwIEmhFzuj4tFVDOm7hxQ8CxA==" saltValue="1YdlQUXJNY62LY2yXgMPg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SbA78OhNqEWZqJg/JZdeNL1SoMyb1+T/7nBzsUiOT7+RoXW0h6+rHf3u31jKX1bP3pJFwtOf/hEKeqw4bfBZgg==" saltValue="RGIQd8rEmvQhByBsmxrQI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187</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vB3LKCyOSPHbCt1uNDJzG8b4aQge+QkrU3f5OMSWJKNjOeFDrn9z+hWgg4SrcglcrD0AAOeQMSMIxIP0qSaOQ==" saltValue="jM+Mze6Qy1qFILE+nNWgO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76451056.21884647</v>
      </c>
      <c r="D9" s="8" t="s">
        <v>3</v>
      </c>
      <c r="E9" s="1"/>
    </row>
    <row r="10" spans="1:5" ht="17.25" customHeight="1" x14ac:dyDescent="0.25">
      <c r="A10" s="1"/>
      <c r="B10" s="88" t="s">
        <v>36</v>
      </c>
      <c r="C10" s="7">
        <f>'Fane 11.1. Varige tillæg'!C20</f>
        <v>533359.66879999998</v>
      </c>
      <c r="D10" s="8" t="s">
        <v>3</v>
      </c>
      <c r="E10" s="1"/>
    </row>
    <row r="11" spans="1:5" ht="17.25" customHeight="1" x14ac:dyDescent="0.25">
      <c r="A11" s="1"/>
      <c r="B11" s="88" t="s">
        <v>37</v>
      </c>
      <c r="C11" s="9">
        <f>'Fane 11.1. Varige tillæg'!E20</f>
        <v>239978.6704</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6239731.0802901546</v>
      </c>
      <c r="D16" s="8" t="s">
        <v>3</v>
      </c>
      <c r="E16" s="1"/>
    </row>
    <row r="17" spans="1:5" ht="17.25" customHeight="1" x14ac:dyDescent="0.25">
      <c r="A17" s="1"/>
      <c r="B17" s="88" t="s">
        <v>10</v>
      </c>
      <c r="C17" s="41">
        <f>-SUM(C9,C10:C16)*'Fane 5. Individuelt eff. krav'!G9</f>
        <v>-643277.95825492323</v>
      </c>
      <c r="D17" s="8" t="s">
        <v>3</v>
      </c>
      <c r="E17" s="1"/>
    </row>
    <row r="18" spans="1:5" ht="17.25" customHeight="1" x14ac:dyDescent="0.25">
      <c r="A18" s="1"/>
      <c r="B18" s="88" t="s">
        <v>23</v>
      </c>
      <c r="C18" s="41">
        <f>-'Fane 4.1. Gen. krav - drift'!G54</f>
        <v>-599881.08180350962</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82220966.59827818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6485164.2513889279</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72">
        <f>'Fane 11.2. Engangstillæg'!C14</f>
        <v>0</v>
      </c>
      <c r="D26" s="8" t="s">
        <v>3</v>
      </c>
      <c r="E26" s="1"/>
    </row>
    <row r="27" spans="1:5" ht="15" customHeight="1" x14ac:dyDescent="0.25">
      <c r="A27" s="1"/>
      <c r="B27" s="88" t="s">
        <v>70</v>
      </c>
      <c r="C27" s="72">
        <f>'Fane 11.2. Engangstillæg'!E14</f>
        <v>0</v>
      </c>
      <c r="D27" s="8" t="s">
        <v>3</v>
      </c>
      <c r="E27" s="1"/>
    </row>
    <row r="28" spans="1:5" ht="15" customHeight="1" x14ac:dyDescent="0.25">
      <c r="A28" s="1"/>
      <c r="B28" s="88" t="s">
        <v>161</v>
      </c>
      <c r="C28" s="72">
        <f>-C26*('Fane 15. Nøgletal'!C33+'Fane 5. Individuelt eff. krav'!G9)</f>
        <v>0</v>
      </c>
      <c r="D28" s="8" t="s">
        <v>3</v>
      </c>
      <c r="E28" s="1"/>
    </row>
    <row r="29" spans="1:5" ht="15" customHeight="1" x14ac:dyDescent="0.25">
      <c r="A29" s="1"/>
      <c r="B29" s="88"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88706130.849667102</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dVhap04WJdVQQVUSTDJVyP24ErM7Q1/QSGN6PDnxgU7LwwXZwjrQqdipYTRouOnvD7WMOg4HSyyKkvcM83F9wg==" saltValue="jSWR1MxtoWoI4jDsEmy8U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188</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SgWI/reakImTxaxRG1RRKe85UptzJfhnu+MTYkeR2i2yFyiBMl6nvqIbeYrskyGsehkEVoLKc2GhjNY/BsuxWg==" saltValue="15qPRROx8YxtiVcpNIdBU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82220966.59827818</v>
      </c>
      <c r="D9" s="8" t="s">
        <v>3</v>
      </c>
      <c r="E9" s="1"/>
    </row>
    <row r="10" spans="1:5" ht="15" customHeight="1" x14ac:dyDescent="0.25">
      <c r="A10" s="1"/>
      <c r="B10" s="26" t="s">
        <v>19</v>
      </c>
      <c r="C10" s="7">
        <f>SUM(C9:C9)*'Fane 15. Nøgletal'!C16</f>
        <v>6643454.1011408763</v>
      </c>
      <c r="D10" s="8" t="s">
        <v>3</v>
      </c>
      <c r="E10" s="1"/>
    </row>
    <row r="11" spans="1:5" ht="15" customHeight="1" x14ac:dyDescent="0.25">
      <c r="A11" s="1"/>
      <c r="B11" s="26" t="s">
        <v>10</v>
      </c>
      <c r="C11" s="9">
        <f>-SUM(C9:C10)*'Fane 5. Individuelt eff. krav'!G9</f>
        <v>-684899.32257520838</v>
      </c>
      <c r="D11" s="8" t="s">
        <v>3</v>
      </c>
      <c r="E11" s="1"/>
    </row>
    <row r="12" spans="1:5" ht="15" customHeight="1" x14ac:dyDescent="0.25">
      <c r="A12" s="1"/>
      <c r="B12" s="26" t="s">
        <v>23</v>
      </c>
      <c r="C12" s="9">
        <f>-'Fane 4.1. Gen. krav - drift'!G59</f>
        <v>-635384.44374896865</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87544136.933094874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7009165.5229011532</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94553302.455996022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gvohhRahhcyLKpdxkCKqKUO2PwBStNBFzG1vktP0Ms42/n21DS/lKUJTWQ2at4Zb7PcQGDME2xw4POWmy34sQ==" saltValue="5EM6nop8gdQqF1yDnyr2k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87544136.933094874</v>
      </c>
      <c r="D9" s="8" t="s">
        <v>3</v>
      </c>
      <c r="E9" s="1"/>
    </row>
    <row r="10" spans="1:5" ht="15" customHeight="1" x14ac:dyDescent="0.25">
      <c r="A10" s="1"/>
      <c r="B10" s="26" t="s">
        <v>19</v>
      </c>
      <c r="C10" s="7">
        <f>SUM(C9:C9)*'Fane 15. Nøgletal'!C16</f>
        <v>7073566.2641940657</v>
      </c>
      <c r="D10" s="8" t="s">
        <v>3</v>
      </c>
      <c r="E10" s="1"/>
    </row>
    <row r="11" spans="1:5" ht="15" customHeight="1" x14ac:dyDescent="0.25">
      <c r="A11" s="1"/>
      <c r="B11" s="26" t="s">
        <v>10</v>
      </c>
      <c r="C11" s="9">
        <f>-SUM(C9:C10)*'Fane 5. Individuelt eff. krav'!G9</f>
        <v>-729241.24540958123</v>
      </c>
      <c r="D11" s="8" t="s">
        <v>3</v>
      </c>
      <c r="E11" s="1"/>
    </row>
    <row r="12" spans="1:5" ht="15" customHeight="1" x14ac:dyDescent="0.25">
      <c r="A12" s="1"/>
      <c r="B12" s="26" t="s">
        <v>23</v>
      </c>
      <c r="C12" s="9">
        <f>-'Fane 4.1. Gen. krav - drift'!G64</f>
        <v>-672989.03666780761</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93215472.915211558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7575506.0971515663</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100790979.01236312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Ezk1I342Z+QtCqwv7Fuy4OBExkyOsBm2BZ6mSoxy3FSpqviy1O3EIKUKRXz2vTAnCeohWb5vtyrcHH7pzz2NA==" saltValue="53rB0q9rBv4yHFY8HvhUx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93215472.915211558</v>
      </c>
      <c r="D9" s="8" t="s">
        <v>3</v>
      </c>
      <c r="E9" s="1"/>
      <c r="F9" s="1"/>
    </row>
    <row r="10" spans="1:6" ht="15" customHeight="1" x14ac:dyDescent="0.25">
      <c r="A10" s="1"/>
      <c r="B10" s="26" t="s">
        <v>19</v>
      </c>
      <c r="C10" s="7">
        <f>SUM(C9:C9)*'Fane 15. Nøgletal'!C16</f>
        <v>7531810.2115490939</v>
      </c>
      <c r="D10" s="8" t="s">
        <v>3</v>
      </c>
      <c r="E10" s="1"/>
      <c r="F10" s="1"/>
    </row>
    <row r="11" spans="1:6" ht="15" customHeight="1" x14ac:dyDescent="0.25">
      <c r="A11" s="1"/>
      <c r="B11" s="26" t="s">
        <v>10</v>
      </c>
      <c r="C11" s="9">
        <f>-SUM(C9:C10)*'Fane 5. Individuelt eff. krav'!G9</f>
        <v>-776483.38245749893</v>
      </c>
      <c r="D11" s="8" t="s">
        <v>3</v>
      </c>
      <c r="E11" s="1"/>
      <c r="F11" s="1"/>
    </row>
    <row r="12" spans="1:6" ht="15" customHeight="1" x14ac:dyDescent="0.25">
      <c r="A12" s="1"/>
      <c r="B12" s="26" t="s">
        <v>23</v>
      </c>
      <c r="C12" s="9">
        <f>-'Fane 4.1. Gen. krav - drift'!G69</f>
        <v>-712819.21981395502</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99257980.524489194</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8187606.9898014124</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107445587.5142906</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CYgPFAL5NOTJONCj7vOo01kcKLi/zgri9CDKjSZZxfw1BRFiQhJ7CYru189DgX0rvWZpqoz/NBxsfkypt+ewBw==" saltValue="Ht9Rj/hEskxlP9PlbFYyG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205</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74264116.435423702</v>
      </c>
      <c r="D9" s="8" t="s">
        <v>3</v>
      </c>
      <c r="E9" s="1"/>
    </row>
    <row r="10" spans="1:5" x14ac:dyDescent="0.25">
      <c r="A10" s="1"/>
      <c r="B10" s="88" t="s">
        <v>36</v>
      </c>
      <c r="C10" s="7">
        <v>2665444.8852000004</v>
      </c>
      <c r="D10" s="8" t="s">
        <v>3</v>
      </c>
      <c r="E10" s="1"/>
    </row>
    <row r="11" spans="1:5" x14ac:dyDescent="0.25">
      <c r="A11" s="1"/>
      <c r="B11" s="88" t="s">
        <v>37</v>
      </c>
      <c r="C11" s="9">
        <v>1322466.378</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387041.2252068182</v>
      </c>
      <c r="D16" s="8" t="s">
        <v>3</v>
      </c>
      <c r="E16" s="1"/>
    </row>
    <row r="17" spans="1:5" x14ac:dyDescent="0.25">
      <c r="A17" s="1"/>
      <c r="B17" s="88" t="s">
        <v>10</v>
      </c>
      <c r="C17" s="41">
        <v>-809567.64280907752</v>
      </c>
      <c r="D17" s="8" t="s">
        <v>3</v>
      </c>
      <c r="E17" s="1"/>
    </row>
    <row r="18" spans="1:5" x14ac:dyDescent="0.25">
      <c r="A18" s="1"/>
      <c r="B18" s="88" t="s">
        <v>23</v>
      </c>
      <c r="C18" s="41">
        <v>-555476.64919667295</v>
      </c>
      <c r="D18" s="8" t="s">
        <v>3</v>
      </c>
      <c r="E18" s="1"/>
    </row>
    <row r="19" spans="1:5" x14ac:dyDescent="0.25">
      <c r="A19" s="1"/>
      <c r="B19" s="88" t="s">
        <v>24</v>
      </c>
      <c r="C19" s="41">
        <v>-822968.41297830269</v>
      </c>
      <c r="D19" s="8" t="s">
        <v>3</v>
      </c>
      <c r="E19" s="47"/>
    </row>
    <row r="20" spans="1:5" x14ac:dyDescent="0.25">
      <c r="A20" s="1"/>
      <c r="B20" s="82" t="s">
        <v>21</v>
      </c>
      <c r="C20" s="10">
        <v>76451056.21884647</v>
      </c>
      <c r="D20" s="11" t="s">
        <v>3</v>
      </c>
      <c r="E20" s="1"/>
    </row>
    <row r="21" spans="1:5" x14ac:dyDescent="0.25">
      <c r="A21" s="1"/>
      <c r="B21" s="33" t="s">
        <v>12</v>
      </c>
      <c r="C21" s="28"/>
      <c r="D21" s="19"/>
      <c r="E21" s="1"/>
    </row>
    <row r="22" spans="1:5" x14ac:dyDescent="0.25">
      <c r="A22" s="1"/>
      <c r="B22" s="31" t="s">
        <v>12</v>
      </c>
      <c r="C22" s="10">
        <v>7408408.6581660444</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69">
        <v>0</v>
      </c>
      <c r="D26" s="8" t="s">
        <v>3</v>
      </c>
      <c r="E26" s="1"/>
    </row>
    <row r="27" spans="1:5" x14ac:dyDescent="0.25">
      <c r="A27" s="1"/>
      <c r="B27" s="88" t="s">
        <v>70</v>
      </c>
      <c r="C27" s="69">
        <v>0</v>
      </c>
      <c r="D27" s="8" t="s">
        <v>3</v>
      </c>
      <c r="E27" s="1"/>
    </row>
    <row r="28" spans="1:5" x14ac:dyDescent="0.25">
      <c r="A28" s="1"/>
      <c r="B28" s="88" t="s">
        <v>161</v>
      </c>
      <c r="C28" s="69">
        <v>0</v>
      </c>
      <c r="D28" s="8" t="s">
        <v>3</v>
      </c>
      <c r="E28" s="1"/>
    </row>
    <row r="29" spans="1:5" x14ac:dyDescent="0.25">
      <c r="A29" s="1"/>
      <c r="B29" s="88"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83859464.877012521</v>
      </c>
      <c r="D37" s="30" t="s">
        <v>3</v>
      </c>
      <c r="E37" s="1"/>
    </row>
    <row r="38" spans="1:5" ht="30" customHeight="1" x14ac:dyDescent="0.25">
      <c r="A38" s="1"/>
      <c r="B38" s="113" t="s">
        <v>268</v>
      </c>
      <c r="C38" s="113"/>
      <c r="D38" s="113"/>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aAhgISw48JsvWPdmeKWS8VbxO3FOSOsBilzZ8QRCFTreYshTg4ZW3qQMwuaQoR1Dg3d9p+5Uz2oIcEC9BquD8w==" saltValue="RppC5e4kQRGeC6M3v+0jd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7" t="s">
        <v>46</v>
      </c>
      <c r="C4" s="118"/>
      <c r="D4" s="118"/>
      <c r="E4" s="118"/>
      <c r="F4" s="118"/>
      <c r="G4" s="118"/>
      <c r="H4" s="119"/>
      <c r="I4" s="1"/>
    </row>
    <row r="5" spans="1:9" x14ac:dyDescent="0.25">
      <c r="A5" s="1"/>
      <c r="B5" s="120" t="s">
        <v>38</v>
      </c>
      <c r="C5" s="121"/>
      <c r="D5" s="121"/>
      <c r="E5" s="121"/>
      <c r="F5" s="122"/>
      <c r="G5" s="63">
        <v>26058095.539709698</v>
      </c>
      <c r="H5" s="14" t="s">
        <v>3</v>
      </c>
      <c r="I5" s="1"/>
    </row>
    <row r="6" spans="1:9" x14ac:dyDescent="0.25">
      <c r="A6" s="1"/>
      <c r="B6" s="114" t="s">
        <v>102</v>
      </c>
      <c r="C6" s="115"/>
      <c r="D6" s="115"/>
      <c r="E6" s="115"/>
      <c r="F6" s="116"/>
      <c r="G6" s="66">
        <v>0</v>
      </c>
      <c r="H6" s="14" t="s">
        <v>3</v>
      </c>
      <c r="I6" s="1"/>
    </row>
    <row r="7" spans="1:9" x14ac:dyDescent="0.25">
      <c r="A7" s="1"/>
      <c r="B7" s="120" t="s">
        <v>39</v>
      </c>
      <c r="C7" s="121"/>
      <c r="D7" s="121"/>
      <c r="E7" s="121"/>
      <c r="F7" s="122"/>
      <c r="G7" s="23">
        <f>SUM(G5:G6)*'Fane 15. Nøgletal'!C33</f>
        <v>521161.91079419397</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25983829.967421528</v>
      </c>
      <c r="H11" s="14" t="s">
        <v>3</v>
      </c>
      <c r="I11" s="1"/>
    </row>
    <row r="12" spans="1:9" ht="15" customHeight="1" x14ac:dyDescent="0.25">
      <c r="A12" s="1"/>
      <c r="B12" s="120" t="s">
        <v>103</v>
      </c>
      <c r="C12" s="121"/>
      <c r="D12" s="121"/>
      <c r="E12" s="121"/>
      <c r="F12" s="122"/>
      <c r="G12" s="66">
        <v>0</v>
      </c>
      <c r="H12" s="14" t="s">
        <v>3</v>
      </c>
      <c r="I12" s="1"/>
    </row>
    <row r="13" spans="1:9" x14ac:dyDescent="0.25">
      <c r="A13" s="1"/>
      <c r="B13" s="114" t="s">
        <v>100</v>
      </c>
      <c r="C13" s="115"/>
      <c r="D13" s="115"/>
      <c r="E13" s="115"/>
      <c r="F13" s="116"/>
      <c r="G13" s="66">
        <v>0</v>
      </c>
      <c r="H13" s="14" t="s">
        <v>3</v>
      </c>
      <c r="I13" s="1"/>
    </row>
    <row r="14" spans="1:9" x14ac:dyDescent="0.25">
      <c r="A14" s="1"/>
      <c r="B14" s="123" t="s">
        <v>244</v>
      </c>
      <c r="C14" s="124"/>
      <c r="D14" s="124"/>
      <c r="E14" s="124"/>
      <c r="F14" s="125"/>
      <c r="G14" s="66">
        <v>0</v>
      </c>
      <c r="H14" s="14" t="s">
        <v>3</v>
      </c>
      <c r="I14" s="1"/>
    </row>
    <row r="15" spans="1:9" x14ac:dyDescent="0.25">
      <c r="A15" s="1"/>
      <c r="B15" s="120" t="s">
        <v>41</v>
      </c>
      <c r="C15" s="121"/>
      <c r="D15" s="121"/>
      <c r="E15" s="121"/>
      <c r="F15" s="122"/>
      <c r="G15" s="23">
        <f>SUM(G11:G14)*'Fane 15. Nøgletal'!C33</f>
        <v>519676.59934843058</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25909776.052014381</v>
      </c>
      <c r="H19" s="14" t="s">
        <v>3</v>
      </c>
      <c r="I19" s="1"/>
    </row>
    <row r="20" spans="1:9" x14ac:dyDescent="0.25">
      <c r="A20" s="1"/>
      <c r="B20" s="123" t="s">
        <v>245</v>
      </c>
      <c r="C20" s="124"/>
      <c r="D20" s="124"/>
      <c r="E20" s="124"/>
      <c r="F20" s="125"/>
      <c r="G20" s="66">
        <v>0</v>
      </c>
      <c r="H20" s="14" t="s">
        <v>3</v>
      </c>
      <c r="I20" s="1"/>
    </row>
    <row r="21" spans="1:9" x14ac:dyDescent="0.25">
      <c r="A21" s="1"/>
      <c r="B21" s="120" t="s">
        <v>43</v>
      </c>
      <c r="C21" s="121"/>
      <c r="D21" s="121"/>
      <c r="E21" s="121"/>
      <c r="F21" s="122"/>
      <c r="G21" s="23">
        <f>SUM(G19:G20)*'Fane 15. Nøgletal'!C33</f>
        <v>518195.52104028763</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25891794.667434286</v>
      </c>
      <c r="H25" s="14" t="s">
        <v>3</v>
      </c>
      <c r="I25" s="1"/>
    </row>
    <row r="26" spans="1:9" x14ac:dyDescent="0.25">
      <c r="A26" s="1"/>
      <c r="B26" s="123" t="s">
        <v>246</v>
      </c>
      <c r="C26" s="124"/>
      <c r="D26" s="124"/>
      <c r="E26" s="124"/>
      <c r="F26" s="125"/>
      <c r="G26" s="66">
        <v>0</v>
      </c>
      <c r="H26" s="14" t="s">
        <v>3</v>
      </c>
      <c r="I26" s="1"/>
    </row>
    <row r="27" spans="1:9" x14ac:dyDescent="0.25">
      <c r="A27" s="1"/>
      <c r="B27" s="120" t="s">
        <v>45</v>
      </c>
      <c r="C27" s="121"/>
      <c r="D27" s="121"/>
      <c r="E27" s="121"/>
      <c r="F27" s="122"/>
      <c r="G27" s="23">
        <f>(G25+G26)*'Fane 15. Nøgletal'!C33</f>
        <v>517835.89334868576</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25873825.761935089</v>
      </c>
      <c r="H31" s="14" t="s">
        <v>3</v>
      </c>
      <c r="I31" s="1"/>
    </row>
    <row r="32" spans="1:9" x14ac:dyDescent="0.25">
      <c r="A32" s="1"/>
      <c r="B32" s="120" t="s">
        <v>243</v>
      </c>
      <c r="C32" s="121"/>
      <c r="D32" s="121"/>
      <c r="E32" s="121"/>
      <c r="F32" s="122"/>
      <c r="G32" s="63">
        <v>0</v>
      </c>
      <c r="H32" s="14" t="s">
        <v>3</v>
      </c>
      <c r="I32" s="1"/>
    </row>
    <row r="33" spans="1:9" x14ac:dyDescent="0.25">
      <c r="A33" s="1"/>
      <c r="B33" s="120" t="s">
        <v>54</v>
      </c>
      <c r="C33" s="121"/>
      <c r="D33" s="121"/>
      <c r="E33" s="121"/>
      <c r="F33" s="122"/>
      <c r="G33" s="23">
        <f>(G31+G32)*'Fane 15. Nøgletal'!C33</f>
        <v>517476.51523870177</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25440025.199210487</v>
      </c>
      <c r="H37" s="14" t="s">
        <v>3</v>
      </c>
      <c r="I37" s="1"/>
    </row>
    <row r="38" spans="1:9" x14ac:dyDescent="0.25">
      <c r="A38" s="1"/>
      <c r="B38" s="120" t="s">
        <v>242</v>
      </c>
      <c r="C38" s="121"/>
      <c r="D38" s="121"/>
      <c r="E38" s="121"/>
      <c r="F38" s="122"/>
      <c r="G38" s="63">
        <v>0</v>
      </c>
      <c r="H38" s="14" t="s">
        <v>3</v>
      </c>
      <c r="I38" s="1"/>
    </row>
    <row r="39" spans="1:9" x14ac:dyDescent="0.25">
      <c r="A39" s="1"/>
      <c r="B39" s="120" t="s">
        <v>128</v>
      </c>
      <c r="C39" s="121"/>
      <c r="D39" s="121"/>
      <c r="E39" s="121"/>
      <c r="F39" s="122"/>
      <c r="G39" s="23">
        <f>(G37+G38)*'Fane 15. Nøgletal'!C33</f>
        <v>508800.50398420973</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25013497.736720528</v>
      </c>
      <c r="H43" s="14" t="s">
        <v>3</v>
      </c>
      <c r="I43" s="1"/>
    </row>
    <row r="44" spans="1:9" x14ac:dyDescent="0.25">
      <c r="A44" s="1"/>
      <c r="B44" s="126" t="s">
        <v>157</v>
      </c>
      <c r="C44" s="127"/>
      <c r="D44" s="127"/>
      <c r="E44" s="127"/>
      <c r="F44" s="128"/>
      <c r="G44" s="45">
        <v>2760334.7231131205</v>
      </c>
      <c r="H44" s="14" t="s">
        <v>3</v>
      </c>
      <c r="I44" s="1"/>
    </row>
    <row r="45" spans="1:9" x14ac:dyDescent="0.25">
      <c r="A45" s="1"/>
      <c r="B45" s="120" t="s">
        <v>129</v>
      </c>
      <c r="C45" s="121"/>
      <c r="D45" s="121"/>
      <c r="E45" s="121"/>
      <c r="F45" s="122"/>
      <c r="G45" s="23">
        <f>SUM(G43:G44)*'Fane 15. Nøgletal'!C33</f>
        <v>555476.64919667295</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29417598.960136443</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576455.13003904</v>
      </c>
      <c r="H53" s="14" t="s">
        <v>3</v>
      </c>
      <c r="I53" s="1"/>
    </row>
    <row r="54" spans="1:9" x14ac:dyDescent="0.25">
      <c r="A54" s="1"/>
      <c r="B54" s="120" t="s">
        <v>210</v>
      </c>
      <c r="C54" s="121"/>
      <c r="D54" s="121"/>
      <c r="E54" s="121"/>
      <c r="F54" s="122"/>
      <c r="G54" s="23">
        <f>(G52)*'Fane 15. Nøgletal'!C33+(G53)*'Fane 15. Nøgletal'!C33</f>
        <v>599881.08180350962</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31769222.187448431</v>
      </c>
      <c r="H58" s="14" t="s">
        <v>3</v>
      </c>
      <c r="I58" s="1"/>
    </row>
    <row r="59" spans="1:9" x14ac:dyDescent="0.25">
      <c r="A59" s="1"/>
      <c r="B59" s="78" t="s">
        <v>211</v>
      </c>
      <c r="C59" s="79"/>
      <c r="D59" s="79"/>
      <c r="E59" s="79"/>
      <c r="F59" s="80"/>
      <c r="G59" s="23">
        <f>(G58)*'Fane 15. Nøgletal'!C33</f>
        <v>635384.44374896865</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33649451.833390377</v>
      </c>
      <c r="H63" s="14" t="s">
        <v>3</v>
      </c>
      <c r="I63" s="1"/>
    </row>
    <row r="64" spans="1:9" x14ac:dyDescent="0.25">
      <c r="A64" s="1"/>
      <c r="B64" s="78" t="s">
        <v>214</v>
      </c>
      <c r="C64" s="79"/>
      <c r="D64" s="79"/>
      <c r="E64" s="79"/>
      <c r="F64" s="80"/>
      <c r="G64" s="23">
        <f>(G63)*'Fane 15. Nøgletal'!C33</f>
        <v>672989.03666780761</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35640960.990697749</v>
      </c>
      <c r="H68" s="14" t="s">
        <v>3</v>
      </c>
      <c r="I68" s="1"/>
    </row>
    <row r="69" spans="1:9" x14ac:dyDescent="0.25">
      <c r="A69" s="1"/>
      <c r="B69" s="78" t="s">
        <v>214</v>
      </c>
      <c r="C69" s="79"/>
      <c r="D69" s="79"/>
      <c r="E69" s="79"/>
      <c r="F69" s="80"/>
      <c r="G69" s="23">
        <f>(G68)*'Fane 15. Nøgletal'!C33</f>
        <v>712819.21981395502</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KxlHqC+UpRvgYW0xHnViI670mcyrBd9zbuyMJvyrvpo/0cyB23/ZnGjCXSAusE83xJmlQ62ye3sjzOtUtbUZ/g==" saltValue="vnK2oGoZu6hP7Fit4g4OJg=="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63">
        <v>57604782.555860884</v>
      </c>
      <c r="H5" s="14" t="s">
        <v>3</v>
      </c>
      <c r="I5" s="1"/>
    </row>
    <row r="6" spans="1:9" x14ac:dyDescent="0.25">
      <c r="A6" s="1"/>
      <c r="B6" s="120" t="s">
        <v>51</v>
      </c>
      <c r="C6" s="121"/>
      <c r="D6" s="121"/>
      <c r="E6" s="121"/>
      <c r="F6" s="122"/>
      <c r="G6" s="23">
        <f>G5*'Fane 15. Nøgletal'!C21</f>
        <v>524203.52125833405</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58079489.167708099</v>
      </c>
      <c r="H10" s="14" t="s">
        <v>3</v>
      </c>
      <c r="I10" s="1"/>
    </row>
    <row r="11" spans="1:9" x14ac:dyDescent="0.25">
      <c r="A11" s="1"/>
      <c r="B11" s="120" t="s">
        <v>104</v>
      </c>
      <c r="C11" s="121"/>
      <c r="D11" s="121"/>
      <c r="E11" s="121"/>
      <c r="F11" s="122"/>
      <c r="G11" s="63">
        <v>103076.26602944829</v>
      </c>
      <c r="H11" s="14" t="s">
        <v>3</v>
      </c>
      <c r="I11" s="1"/>
    </row>
    <row r="12" spans="1:9" x14ac:dyDescent="0.25">
      <c r="A12" s="1"/>
      <c r="B12" s="123" t="s">
        <v>247</v>
      </c>
      <c r="C12" s="124"/>
      <c r="D12" s="124"/>
      <c r="E12" s="124"/>
      <c r="F12" s="125"/>
      <c r="G12" s="66">
        <v>0</v>
      </c>
      <c r="H12" s="14" t="s">
        <v>3</v>
      </c>
      <c r="I12" s="1"/>
    </row>
    <row r="13" spans="1:9" x14ac:dyDescent="0.25">
      <c r="A13" s="1"/>
      <c r="B13" s="120" t="s">
        <v>58</v>
      </c>
      <c r="C13" s="121"/>
      <c r="D13" s="121"/>
      <c r="E13" s="121"/>
      <c r="F13" s="122"/>
      <c r="G13" s="23">
        <f>SUM(G10:G12)*'Fane 15. Nøgletal'!C22</f>
        <v>1029831.4081771546</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58152906.871007703</v>
      </c>
      <c r="H17" s="14" t="s">
        <v>3</v>
      </c>
      <c r="I17" s="1"/>
    </row>
    <row r="18" spans="1:9" x14ac:dyDescent="0.25">
      <c r="A18" s="1"/>
      <c r="B18" s="123" t="s">
        <v>248</v>
      </c>
      <c r="C18" s="124"/>
      <c r="D18" s="124"/>
      <c r="E18" s="124"/>
      <c r="F18" s="125"/>
      <c r="G18" s="63">
        <v>0</v>
      </c>
      <c r="H18" s="14" t="s">
        <v>3</v>
      </c>
      <c r="I18" s="1"/>
    </row>
    <row r="19" spans="1:9" x14ac:dyDescent="0.25">
      <c r="A19" s="1"/>
      <c r="B19" s="120" t="s">
        <v>61</v>
      </c>
      <c r="C19" s="121"/>
      <c r="D19" s="121"/>
      <c r="E19" s="121"/>
      <c r="F19" s="122"/>
      <c r="G19" s="23">
        <f>G17*'Fane 15. Nøgletal'!C22+G18*'Fane 15. Nøgletal'!C23</f>
        <v>1029306.4516168364</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58248935.347652867</v>
      </c>
      <c r="H23" s="14" t="s">
        <v>3</v>
      </c>
      <c r="I23" s="1"/>
    </row>
    <row r="24" spans="1:9" x14ac:dyDescent="0.25">
      <c r="A24" s="1"/>
      <c r="B24" s="123" t="s">
        <v>249</v>
      </c>
      <c r="C24" s="124"/>
      <c r="D24" s="124"/>
      <c r="E24" s="124"/>
      <c r="F24" s="125"/>
      <c r="G24" s="63">
        <v>0</v>
      </c>
      <c r="H24" s="14" t="s">
        <v>3</v>
      </c>
      <c r="I24" s="1"/>
    </row>
    <row r="25" spans="1:9" x14ac:dyDescent="0.25">
      <c r="A25" s="1"/>
      <c r="B25" s="120" t="s">
        <v>64</v>
      </c>
      <c r="C25" s="121"/>
      <c r="D25" s="121"/>
      <c r="E25" s="121"/>
      <c r="F25" s="122"/>
      <c r="G25" s="23">
        <f>(G23+G24)*'Fane 15. Nøgletal'!C24</f>
        <v>1654269.7638733415</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57709580.495779991</v>
      </c>
      <c r="H29" s="14" t="s">
        <v>3</v>
      </c>
      <c r="I29" s="1"/>
    </row>
    <row r="30" spans="1:9" x14ac:dyDescent="0.25">
      <c r="A30" s="1"/>
      <c r="B30" s="120" t="s">
        <v>250</v>
      </c>
      <c r="C30" s="121"/>
      <c r="D30" s="121"/>
      <c r="E30" s="121"/>
      <c r="F30" s="122"/>
      <c r="G30" s="63">
        <v>0</v>
      </c>
      <c r="H30" s="14" t="s">
        <v>3</v>
      </c>
      <c r="I30" s="1"/>
    </row>
    <row r="31" spans="1:9" x14ac:dyDescent="0.25">
      <c r="A31" s="1"/>
      <c r="B31" s="120" t="s">
        <v>67</v>
      </c>
      <c r="C31" s="121"/>
      <c r="D31" s="121"/>
      <c r="E31" s="121"/>
      <c r="F31" s="122"/>
      <c r="G31" s="23">
        <f>G29*'Fane 15. Nøgletal'!C24+G30*'Fane 15. Nøgletal'!C25</f>
        <v>1638952.0860801518</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56255661.483451858</v>
      </c>
      <c r="H35" s="14" t="s">
        <v>3</v>
      </c>
      <c r="I35" s="1"/>
    </row>
    <row r="36" spans="1:9" x14ac:dyDescent="0.25">
      <c r="A36" s="1"/>
      <c r="B36" s="120" t="s">
        <v>251</v>
      </c>
      <c r="C36" s="121"/>
      <c r="D36" s="121"/>
      <c r="E36" s="121"/>
      <c r="F36" s="122"/>
      <c r="G36" s="63">
        <v>0</v>
      </c>
      <c r="H36" s="14" t="s">
        <v>3</v>
      </c>
      <c r="I36" s="1"/>
    </row>
    <row r="37" spans="1:9" x14ac:dyDescent="0.25">
      <c r="A37" s="1"/>
      <c r="B37" s="120" t="s">
        <v>131</v>
      </c>
      <c r="C37" s="121"/>
      <c r="D37" s="121"/>
      <c r="E37" s="121"/>
      <c r="F37" s="122"/>
      <c r="G37" s="23">
        <f>(G35+G36)*'Fane 15. Nøgletal'!C26</f>
        <v>832583.78995508759</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55605973.849885315</v>
      </c>
      <c r="H41" s="14" t="s">
        <v>3</v>
      </c>
      <c r="I41" s="1"/>
    </row>
    <row r="42" spans="1:9" x14ac:dyDescent="0.25">
      <c r="A42" s="1"/>
      <c r="B42" s="40" t="s">
        <v>156</v>
      </c>
      <c r="C42" s="79"/>
      <c r="D42" s="79"/>
      <c r="E42" s="79"/>
      <c r="F42" s="80"/>
      <c r="G42" s="23">
        <v>1369546.1810568001</v>
      </c>
      <c r="H42" s="14" t="s">
        <v>3</v>
      </c>
      <c r="I42" s="1"/>
    </row>
    <row r="43" spans="1:9" x14ac:dyDescent="0.25">
      <c r="A43" s="1"/>
      <c r="B43" s="120" t="s">
        <v>132</v>
      </c>
      <c r="C43" s="121"/>
      <c r="D43" s="121"/>
      <c r="E43" s="121"/>
      <c r="F43" s="122"/>
      <c r="G43" s="23">
        <f>(G41)*'Fane 15. Nøgletal'!C26+G42*'Fane 15. Nøgletal'!C27</f>
        <v>822968.41297830269</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60689677.788695283</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259368.94696832</v>
      </c>
      <c r="H54" s="14" t="s">
        <v>3</v>
      </c>
      <c r="I54" s="1"/>
    </row>
    <row r="55" spans="1:9" x14ac:dyDescent="0.25">
      <c r="A55" s="1"/>
      <c r="B55" s="120" t="s">
        <v>218</v>
      </c>
      <c r="C55" s="121"/>
      <c r="D55" s="121"/>
      <c r="E55" s="121"/>
      <c r="F55" s="122"/>
      <c r="G55" s="63">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65873729.711905219</v>
      </c>
      <c r="H59" s="14" t="s">
        <v>3</v>
      </c>
      <c r="I59" s="1"/>
    </row>
    <row r="60" spans="1:9" x14ac:dyDescent="0.25">
      <c r="A60" s="1"/>
      <c r="B60" s="120" t="s">
        <v>220</v>
      </c>
      <c r="C60" s="121"/>
      <c r="D60" s="121"/>
      <c r="E60" s="121"/>
      <c r="F60" s="122"/>
      <c r="G60" s="63">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71196327.072627157</v>
      </c>
      <c r="H64" s="14" t="s">
        <v>3</v>
      </c>
      <c r="I64" s="1"/>
    </row>
    <row r="65" spans="1:9" x14ac:dyDescent="0.25">
      <c r="A65" s="1"/>
      <c r="B65" s="120" t="s">
        <v>222</v>
      </c>
      <c r="C65" s="121"/>
      <c r="D65" s="121"/>
      <c r="E65" s="121"/>
      <c r="F65" s="122"/>
      <c r="G65" s="63">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76948990.300095424</v>
      </c>
      <c r="H69" s="14" t="s">
        <v>3</v>
      </c>
      <c r="I69" s="1"/>
    </row>
    <row r="70" spans="1:9" x14ac:dyDescent="0.25">
      <c r="A70" s="1"/>
      <c r="B70" s="120" t="s">
        <v>222</v>
      </c>
      <c r="C70" s="121"/>
      <c r="D70" s="121"/>
      <c r="E70" s="121"/>
      <c r="F70" s="122"/>
      <c r="G70" s="63">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qITt8E+2nVtF3zlTji/W+fsLOqhkv/1zVxH9x/LPB9ei2Ddi9GX4nS4t8rAaWdWz2dVOGhfVTWwy0yTm8W2A7A==" saltValue="pkY9eqJylqcYZL6LREQ0qg=="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7.7072389285230084E-3</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iPSZmHUvntdPV8kf+TuVtkfUMxB2OxRSbnS7+FCM8+t7f2ap3BthPxl+0dPB0LPgCOejb2+iWyyaoXyQelDIhg==" saltValue="b3e6N80mww3qyW0EU3ZHL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2023-09-06T10:48:29Z</dcterms:modified>
</cp:coreProperties>
</file>