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ANDE VANDVÆRK A.M.B.A (V03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21" i="2" l="1"/>
  <c r="C17" i="2"/>
  <c r="G29" i="30" l="1"/>
  <c r="G23" i="36" l="1"/>
  <c r="G23" i="30"/>
  <c r="E16" i="27"/>
  <c r="G25" i="36" l="1"/>
  <c r="G29" i="36" s="1"/>
  <c r="G19" i="36"/>
  <c r="G16" i="36"/>
  <c r="G12" i="36"/>
  <c r="G6" i="36"/>
  <c r="G25" i="30"/>
  <c r="G19" i="30"/>
  <c r="G12" i="30"/>
  <c r="G6" i="30"/>
  <c r="E18" i="27" l="1"/>
  <c r="C14" i="19" l="1"/>
  <c r="E31" i="32" l="1"/>
  <c r="E10" i="11" l="1"/>
  <c r="E15" i="32" l="1"/>
  <c r="E7" i="32"/>
  <c r="E35" i="32" s="1"/>
  <c r="E38" i="32" s="1"/>
  <c r="C24" i="15" l="1"/>
  <c r="C29" i="2"/>
  <c r="G10" i="30"/>
  <c r="G16" i="30" l="1"/>
  <c r="E32" i="2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10" i="36" l="1"/>
  <c r="E19" i="27" l="1"/>
  <c r="E20" i="27" s="1"/>
  <c r="E31" i="27" s="1"/>
  <c r="E23" i="32"/>
  <c r="E36" i="32" s="1"/>
  <c r="E39" i="32" s="1"/>
  <c r="C25" i="15" l="1"/>
  <c r="C30" i="2"/>
  <c r="F11" i="11"/>
  <c r="C10" i="37" s="1"/>
  <c r="C11" i="37" s="1"/>
  <c r="G11" i="11"/>
  <c r="C12" i="37" l="1"/>
  <c r="C11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5" i="2"/>
  <c r="C16" i="2"/>
  <c r="C23" i="2"/>
  <c r="C14" i="2"/>
  <c r="C13" i="2"/>
  <c r="G30" i="30" l="1"/>
  <c r="G31" i="30" l="1"/>
  <c r="E11" i="11"/>
  <c r="E10" i="37" s="1"/>
  <c r="E11" i="37" s="1"/>
  <c r="G35" i="30" l="1"/>
  <c r="G37" i="30" s="1"/>
  <c r="C19" i="2"/>
  <c r="E12" i="37"/>
  <c r="C12" i="2" s="1"/>
  <c r="G30" i="36" s="1"/>
  <c r="G31" i="36" s="1"/>
  <c r="G41" i="30" l="1"/>
  <c r="G43" i="30" s="1"/>
  <c r="C14" i="15"/>
  <c r="C20" i="2"/>
  <c r="G35" i="36" l="1"/>
  <c r="G37" i="36" s="1"/>
  <c r="C15" i="15" s="1"/>
  <c r="G47" i="30"/>
  <c r="G49" i="30" s="1"/>
  <c r="C13" i="23" s="1"/>
  <c r="C13" i="22"/>
  <c r="G41" i="36" l="1"/>
  <c r="G43" i="36" s="1"/>
  <c r="C14" i="22" s="1"/>
  <c r="C9" i="2"/>
  <c r="G47" i="36" l="1"/>
  <c r="G49" i="36" s="1"/>
  <c r="C14" i="23" s="1"/>
  <c r="C18" i="2" l="1"/>
  <c r="C9" i="15" l="1"/>
  <c r="C12" i="15" s="1"/>
  <c r="C13" i="15" s="1"/>
  <c r="C16" i="15" s="1"/>
  <c r="C26" i="15" s="1"/>
  <c r="C31" i="2"/>
  <c r="C8" i="22" l="1"/>
  <c r="C11" i="22" s="1"/>
  <c r="C12" i="22" s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<sst xmlns="http://schemas.openxmlformats.org/spreadsheetml/2006/main" count="595" uniqueCount="245">
  <si>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</si>
  <si>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</si>
  <si>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</si>
  <si>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</si>
  <si>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</si>
  <si>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</si>
  <si>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</si>
  <si>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</si>
  <si>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</si>
  <si>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</si>
  <si>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</si>
  <si>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</si>
  <si>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</si>
  <si>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</si>
  <si>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</si>
  <si>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</si>
  <si>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</si>
  <si>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</si>
  <si>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</si>
  <si>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</si>
  <si>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</si>
  <si>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</si>
  <si>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</si>
  <si>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</si>
  <si>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</si>
  <si>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</si>
  <si>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</si>
  <si>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</si>
  <si>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</si>
  <si>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</si>
  <si>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</si>
  <si>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</si>
  <si>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</si>
  <si>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</si>
  <si>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</si>
  <si>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</si>
  <si>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</si>
  <si>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</si>
  <si>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</si>
  <si>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</si>
  <si>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</si>
  <si>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</si>
  <si>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</si>
  <si>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</si>
  <si>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</si>
  <si>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</si>
  <si>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</si>
  <si>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</si>
  <si>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</si>
  <si>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</si>
  <si>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</si>
  <si>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</si>
  <si>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</si>
  <si>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</si>
  <si>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</si>
  <si>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</si>
  <si>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</si>
  <si>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</si>
  <si>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</si>
  <si>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</si>
  <si>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</si>
  <si>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</si>
  <si>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</si>
  <si>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</si>
  <si>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</si>
  <si>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</si>
  <si>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</si>
  <si>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</si>
  <si>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</si>
  <si>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</si>
  <si>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</si>
  <si>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</si>
  <si>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</si>
  <si>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</si>
  <si>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</si>
  <si>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</si>
  <si>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</si>
  <si>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</si>
  <si>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</si>
  <si>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</si>
  <si>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</si>
  <si>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</si>
  <si>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</si>
  <si>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</si>
  <si>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</si>
  <si>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</si>
  <si>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</si>
  <si>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</si>
  <si>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</si>
  <si>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</si>
  <si>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</si>
  <si>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</si>
  <si>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</si>
  <si>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</si>
  <si>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</si>
  <si>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</si>
  <si>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</si>
  <si>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</si>
  <si>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</si>
  <si>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</si>
  <si>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</si>
  <si>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</si>
  <si>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</si>
  <si>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</si>
  <si>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</si>
  <si>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</si>
  <si>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</si>
  <si>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</si>
  <si>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</si>
  <si>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</si>
  <si>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</si>
  <si>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</si>
  <si>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</si>
  <si>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</si>
  <si>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</si>
  <si>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</si>
  <si>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</si>
  <si>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</si>
  <si>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</si>
  <si>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</si>
  <si>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</si>
  <si>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</si>
  <si>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</si>
  <si>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</si>
  <si>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</si>
  <si>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</si>
  <si>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</si>
  <si>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</si>
  <si>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</si>
  <si>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</si>
  <si>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</si>
  <si>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</si>
  <si>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</si>
  <si>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</si>
  <si>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</si>
  <si>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</si>
  <si>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</si>
  <si>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</si>
  <si>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</si>
  <si>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</si>
  <si>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</si>
  <si>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</si>
  <si>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</si>
  <si>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</si>
  <si>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</si>
  <si>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</si>
  <si>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</si>
  <si>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</si>
  <si>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</si>
  <si>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</si>
  <si>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</si>
  <si>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</si>
  <si>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</si>
  <si>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</si>
  <si>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</si>
  <si>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</si>
  <si>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</si>
  <si>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</si>
  <si>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</si>
  <si>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</si>
  <si>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</si>
  <si>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</si>
  <si>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</si>
  <si>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</si>
  <si>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</si>
  <si>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</si>
  <si>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</si>
  <si>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</si>
  <si>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</si>
  <si>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</si>
  <si>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</si>
  <si>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</si>
  <si>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</si>
  <si>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</si>
  <si>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</si>
  <si>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</si>
  <si>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</si>
  <si>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</si>
  <si>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</si>
  <si>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</si>
  <si>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</si>
  <si>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</si>
  <si>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</si>
  <si>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</si>
  <si>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</si>
  <si>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</si>
  <si>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</si>
  <si>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</si>
  <si>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</si>
  <si>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</si>
  <si>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</si>
  <si>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</si>
  <si>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</si>
  <si>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</si>
  <si>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</si>
  <si>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</si>
  <si>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</si>
  <si>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</si>
  <si>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</si>
  <si>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</si>
  <si>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</si>
  <si>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</si>
  <si>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</si>
  <si>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</si>
  <si>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</si>
  <si>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</si>
  <si>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</si>
  <si>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</si>
  <si>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</si>
  <si>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</si>
  <si>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</si>
  <si>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</si>
  <si>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</si>
  <si>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</si>
  <si>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</si>
  <si>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</si>
  <si>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</si>
  <si>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</si>
  <si>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</si>
  <si>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</si>
  <si>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</si>
  <si>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</si>
  <si>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</si>
  <si>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</si>
  <si>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</si>
  <si>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</si>
  <si>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</si>
  <si>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</si>
  <si>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</si>
  <si>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</si>
  <si>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</si>
  <si>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</si>
  <si>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</si>
  <si>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Øvrige IPO'er</t>
  </si>
  <si>
    <t>Ingen engangstillæg</t>
  </si>
  <si>
    <t>Ingen tilknyttet virksomhed</t>
  </si>
  <si>
    <t>Ingen bortfald eller nedsættelse</t>
  </si>
  <si>
    <t>Ingen anlægsprojekter</t>
  </si>
  <si>
    <t>IR</t>
  </si>
  <si>
    <t>Generelt effektiviseringskrav - gammel</t>
  </si>
  <si>
    <t>Kontrol med de økonomiske rammer for 2017-2019</t>
  </si>
  <si>
    <t>Korrektion og kontrol med prisloft 2016 til indregning</t>
  </si>
  <si>
    <t>Kontrol med de økonomiske rammer for 2017-2019 til indregning</t>
  </si>
  <si>
    <t>Økonomisk ramme for 2024</t>
  </si>
  <si>
    <t>Korrektion af den økonomiske ramme som følge af forkert prisfremskrivning på korrektion af IPO'er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</si>
</sst>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4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5">
      <c r="A8" s="1"/>
      <c r="B8" s="1"/>
      <c r="C8" s="4"/>
      <c r="D8" s="67" t="s">
        <v>204</v>
      </c>
      <c r="E8" s="67"/>
      <c r="F8" s="67"/>
      <c r="G8" s="6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2" t="s">
        <v>150</v>
      </c>
      <c r="E13" s="63"/>
      <c r="F13" s="63"/>
      <c r="G13" s="64"/>
      <c r="H13" s="1"/>
      <c r="I13" s="1"/>
    </row>
    <row r="14" spans="1:9" x14ac:dyDescent="0.45">
      <c r="A14" s="1"/>
      <c r="B14" s="1"/>
      <c r="C14" s="6" t="s">
        <v>15</v>
      </c>
      <c r="D14" s="62" t="s">
        <v>205</v>
      </c>
      <c r="E14" s="63"/>
      <c r="F14" s="63"/>
      <c r="G14" s="64"/>
      <c r="H14" s="1"/>
      <c r="I14" s="1"/>
    </row>
    <row r="15" spans="1:9" x14ac:dyDescent="0.45">
      <c r="A15" s="1"/>
      <c r="B15" s="1"/>
      <c r="C15" s="6" t="s">
        <v>40</v>
      </c>
      <c r="D15" s="62" t="s">
        <v>93</v>
      </c>
      <c r="E15" s="63"/>
      <c r="F15" s="63"/>
      <c r="G15" s="64"/>
      <c r="H15" s="1"/>
      <c r="I15" s="1"/>
    </row>
    <row r="16" spans="1:9" x14ac:dyDescent="0.45">
      <c r="A16" s="1"/>
      <c r="B16" s="1"/>
      <c r="C16" s="6" t="s">
        <v>41</v>
      </c>
      <c r="D16" s="62" t="s">
        <v>151</v>
      </c>
      <c r="E16" s="63"/>
      <c r="F16" s="63"/>
      <c r="G16" s="64"/>
      <c r="H16" s="1"/>
      <c r="I16" s="1"/>
    </row>
    <row r="17" spans="1:9" x14ac:dyDescent="0.45">
      <c r="A17" s="1"/>
      <c r="B17" s="1"/>
      <c r="C17" s="6" t="s">
        <v>149</v>
      </c>
      <c r="D17" s="62" t="s">
        <v>152</v>
      </c>
      <c r="E17" s="63"/>
      <c r="F17" s="63"/>
      <c r="G17" s="64"/>
      <c r="H17" s="1"/>
      <c r="I17" s="1"/>
    </row>
    <row r="18" spans="1:9" x14ac:dyDescent="0.45">
      <c r="A18" s="1"/>
      <c r="B18" s="1"/>
      <c r="C18" s="33" t="s">
        <v>133</v>
      </c>
      <c r="D18" s="68" t="s">
        <v>113</v>
      </c>
      <c r="E18" s="69"/>
      <c r="F18" s="69"/>
      <c r="G18" s="70"/>
      <c r="H18" s="1"/>
      <c r="I18" s="1"/>
    </row>
    <row r="19" spans="1:9" x14ac:dyDescent="0.45">
      <c r="A19" s="1"/>
      <c r="B19" s="1"/>
      <c r="C19" s="33" t="s">
        <v>134</v>
      </c>
      <c r="D19" s="68" t="s">
        <v>114</v>
      </c>
      <c r="E19" s="69"/>
      <c r="F19" s="69"/>
      <c r="G19" s="70"/>
      <c r="H19" s="1"/>
      <c r="I19" s="1"/>
    </row>
    <row r="20" spans="1:9" x14ac:dyDescent="0.45">
      <c r="A20" s="1"/>
      <c r="B20" s="1"/>
      <c r="C20" s="33" t="s">
        <v>7</v>
      </c>
      <c r="D20" s="68" t="s">
        <v>9</v>
      </c>
      <c r="E20" s="69"/>
      <c r="F20" s="69"/>
      <c r="G20" s="70"/>
      <c r="H20" s="1"/>
      <c r="I20" s="1"/>
    </row>
    <row r="21" spans="1:9" x14ac:dyDescent="0.45">
      <c r="A21" s="1"/>
      <c r="B21" s="1"/>
      <c r="C21" s="6" t="s">
        <v>135</v>
      </c>
      <c r="D21" s="59" t="s">
        <v>12</v>
      </c>
      <c r="E21" s="60"/>
      <c r="F21" s="60"/>
      <c r="G21" s="61"/>
      <c r="H21" s="1"/>
      <c r="I21" s="1"/>
    </row>
    <row r="22" spans="1:9" x14ac:dyDescent="0.45">
      <c r="A22" s="1"/>
      <c r="B22" s="1"/>
      <c r="C22" s="6" t="s">
        <v>97</v>
      </c>
      <c r="D22" s="53" t="s">
        <v>153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8</v>
      </c>
      <c r="D23" s="53" t="s">
        <v>42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215</v>
      </c>
      <c r="D24" s="53" t="s">
        <v>98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216</v>
      </c>
      <c r="D25" s="53" t="s">
        <v>99</v>
      </c>
      <c r="E25" s="54"/>
      <c r="F25" s="54"/>
      <c r="G25" s="55"/>
      <c r="H25" s="1"/>
      <c r="I25" s="1"/>
    </row>
    <row r="26" spans="1:9" x14ac:dyDescent="0.45">
      <c r="A26" s="1"/>
      <c r="B26" s="1"/>
      <c r="C26" s="6" t="s">
        <v>217</v>
      </c>
      <c r="D26" s="53" t="s">
        <v>154</v>
      </c>
      <c r="E26" s="54"/>
      <c r="F26" s="54"/>
      <c r="G26" s="55"/>
      <c r="H26" s="1"/>
      <c r="I26" s="1"/>
    </row>
    <row r="27" spans="1:9" x14ac:dyDescent="0.45">
      <c r="A27" s="1"/>
      <c r="B27" s="1"/>
      <c r="C27" s="6" t="s">
        <v>136</v>
      </c>
      <c r="D27" s="53" t="s">
        <v>43</v>
      </c>
      <c r="E27" s="54"/>
      <c r="F27" s="54"/>
      <c r="G27" s="55"/>
      <c r="H27" s="1"/>
      <c r="I27" s="1"/>
    </row>
    <row r="28" spans="1:9" x14ac:dyDescent="0.45">
      <c r="A28" s="1"/>
      <c r="B28" s="1"/>
      <c r="C28" s="6" t="s">
        <v>127</v>
      </c>
      <c r="D28" s="56" t="s">
        <v>128</v>
      </c>
      <c r="E28" s="57"/>
      <c r="F28" s="57"/>
      <c r="G28" s="5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1" t="s">
        <v>139</v>
      </c>
      <c r="C3" s="71"/>
      <c r="D3" s="71"/>
      <c r="E3" s="1"/>
      <c r="F3" s="1"/>
    </row>
    <row r="4" spans="1:6" ht="15" customHeight="1" x14ac:dyDescent="0.45">
      <c r="A4" s="1"/>
      <c r="B4" s="71"/>
      <c r="C4" s="71"/>
      <c r="D4" s="7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167</v>
      </c>
      <c r="C8" s="95"/>
      <c r="D8" s="96"/>
      <c r="E8" s="1"/>
      <c r="F8" s="1"/>
    </row>
    <row r="9" spans="1:6" ht="15" customHeight="1" x14ac:dyDescent="0.45">
      <c r="A9" s="1"/>
      <c r="B9" s="40" t="s">
        <v>35</v>
      </c>
      <c r="C9" s="11" t="s">
        <v>170</v>
      </c>
      <c r="D9" s="11"/>
      <c r="E9" s="1"/>
      <c r="F9" s="1"/>
    </row>
    <row r="10" spans="1:6" ht="15" customHeight="1" x14ac:dyDescent="0.45">
      <c r="A10" s="1"/>
      <c r="B10" s="48" t="s">
        <v>230</v>
      </c>
      <c r="C10" s="9">
        <v>5423685</v>
      </c>
      <c r="D10" s="14" t="s">
        <v>3</v>
      </c>
      <c r="E10" s="1"/>
      <c r="F10" s="1"/>
    </row>
    <row r="11" spans="1:6" x14ac:dyDescent="0.45">
      <c r="A11" s="1"/>
      <c r="B11" s="48" t="s">
        <v>231</v>
      </c>
      <c r="C11" s="9">
        <v>54172</v>
      </c>
      <c r="D11" s="14" t="s">
        <v>3</v>
      </c>
      <c r="E11" s="1"/>
      <c r="F11" s="1"/>
    </row>
    <row r="12" spans="1:6" x14ac:dyDescent="0.45">
      <c r="A12" s="1"/>
      <c r="B12" s="48" t="s">
        <v>232</v>
      </c>
      <c r="C12" s="9">
        <v>13060</v>
      </c>
      <c r="D12" s="14" t="s">
        <v>3</v>
      </c>
      <c r="E12" s="1"/>
      <c r="F12" s="1"/>
    </row>
    <row r="13" spans="1:6" x14ac:dyDescent="0.45">
      <c r="A13" s="1"/>
      <c r="B13" s="48" t="s">
        <v>233</v>
      </c>
      <c r="C13" s="9">
        <v>13044</v>
      </c>
      <c r="D13" s="14" t="s">
        <v>3</v>
      </c>
      <c r="E13" s="1"/>
      <c r="F13" s="1"/>
    </row>
    <row r="14" spans="1:6" x14ac:dyDescent="0.45">
      <c r="A14" s="1"/>
      <c r="B14" s="43" t="s">
        <v>168</v>
      </c>
      <c r="C14" s="12">
        <f>SUM(C10:C13)</f>
        <v>5503961</v>
      </c>
      <c r="D14" s="13" t="s">
        <v>3</v>
      </c>
      <c r="E14" s="1"/>
      <c r="F14" s="1"/>
    </row>
    <row r="15" spans="1:6" x14ac:dyDescent="0.45">
      <c r="A15" s="1"/>
      <c r="B15" s="43" t="s">
        <v>169</v>
      </c>
      <c r="C15" s="12">
        <f>C14*(1+'Fane 12. Nøgletal'!C13)^2</f>
        <v>5639076.8579552397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1" t="s">
        <v>171</v>
      </c>
      <c r="C2" s="81"/>
      <c r="D2" s="81"/>
      <c r="E2" s="81"/>
      <c r="F2" s="81"/>
      <c r="G2" s="1"/>
    </row>
    <row r="3" spans="1:7" ht="15" customHeight="1" x14ac:dyDescent="0.45">
      <c r="A3" s="1"/>
      <c r="B3" s="81"/>
      <c r="C3" s="81"/>
      <c r="D3" s="81"/>
      <c r="E3" s="81"/>
      <c r="F3" s="81"/>
      <c r="G3" s="1"/>
    </row>
    <row r="4" spans="1:7" ht="15" customHeight="1" x14ac:dyDescent="0.45">
      <c r="A4" s="1"/>
      <c r="B4" s="94" t="s">
        <v>39</v>
      </c>
      <c r="C4" s="95"/>
      <c r="D4" s="95"/>
      <c r="E4" s="95"/>
      <c r="F4" s="96"/>
      <c r="G4" s="1"/>
    </row>
    <row r="5" spans="1:7" ht="15" customHeight="1" x14ac:dyDescent="0.45">
      <c r="A5" s="1"/>
      <c r="B5" s="97" t="s">
        <v>37</v>
      </c>
      <c r="C5" s="98"/>
      <c r="D5" s="99"/>
      <c r="E5" s="9">
        <v>401041.05253333331</v>
      </c>
      <c r="F5" s="14" t="s">
        <v>3</v>
      </c>
      <c r="G5" s="1"/>
    </row>
    <row r="6" spans="1:7" ht="15" customHeight="1" x14ac:dyDescent="0.45">
      <c r="A6" s="1"/>
      <c r="B6" s="97" t="s">
        <v>38</v>
      </c>
      <c r="C6" s="98"/>
      <c r="D6" s="99"/>
      <c r="E6" s="9">
        <v>284329.04153111018</v>
      </c>
      <c r="F6" s="14" t="s">
        <v>3</v>
      </c>
      <c r="G6" s="1"/>
    </row>
    <row r="7" spans="1:7" ht="15" customHeight="1" x14ac:dyDescent="0.45">
      <c r="A7" s="1"/>
      <c r="B7" s="105" t="s">
        <v>130</v>
      </c>
      <c r="C7" s="106"/>
      <c r="D7" s="107"/>
      <c r="E7" s="10">
        <f>SUM(E5:E6)</f>
        <v>685370.09406444349</v>
      </c>
      <c r="F7" s="17" t="s">
        <v>3</v>
      </c>
      <c r="G7" s="1"/>
    </row>
    <row r="8" spans="1:7" ht="15" customHeight="1" x14ac:dyDescent="0.45">
      <c r="A8" s="1"/>
      <c r="B8" s="43"/>
      <c r="C8" s="44"/>
      <c r="D8" s="44"/>
      <c r="E8" s="44"/>
      <c r="F8" s="20"/>
      <c r="G8" s="1"/>
    </row>
    <row r="9" spans="1:7" ht="28.5" customHeight="1" x14ac:dyDescent="0.45">
      <c r="A9" s="1"/>
      <c r="B9" s="85" t="s">
        <v>131</v>
      </c>
      <c r="C9" s="86"/>
      <c r="D9" s="86"/>
      <c r="E9" s="86"/>
      <c r="F9" s="87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4" t="s">
        <v>115</v>
      </c>
      <c r="C11" s="95"/>
      <c r="D11" s="95"/>
      <c r="E11" s="95"/>
      <c r="F11" s="96"/>
      <c r="G11" s="1"/>
    </row>
    <row r="12" spans="1:7" x14ac:dyDescent="0.45">
      <c r="A12" s="1"/>
      <c r="B12" s="97" t="s">
        <v>116</v>
      </c>
      <c r="C12" s="98"/>
      <c r="D12" s="99"/>
      <c r="E12" s="9">
        <v>10892178.298799999</v>
      </c>
      <c r="F12" s="14" t="s">
        <v>3</v>
      </c>
      <c r="G12" s="1"/>
    </row>
    <row r="13" spans="1:7" x14ac:dyDescent="0.45">
      <c r="A13" s="1"/>
      <c r="B13" s="97" t="s">
        <v>117</v>
      </c>
      <c r="C13" s="98"/>
      <c r="D13" s="99"/>
      <c r="E13" s="9">
        <v>10482243</v>
      </c>
      <c r="F13" s="14" t="s">
        <v>3</v>
      </c>
      <c r="G13" s="1"/>
    </row>
    <row r="14" spans="1:7" x14ac:dyDescent="0.45">
      <c r="A14" s="1"/>
      <c r="B14" s="97" t="s">
        <v>36</v>
      </c>
      <c r="C14" s="98"/>
      <c r="D14" s="99"/>
      <c r="E14" s="9">
        <v>0</v>
      </c>
      <c r="F14" s="14" t="s">
        <v>3</v>
      </c>
      <c r="G14" s="1"/>
    </row>
    <row r="15" spans="1:7" x14ac:dyDescent="0.45">
      <c r="A15" s="1"/>
      <c r="B15" s="105" t="s">
        <v>206</v>
      </c>
      <c r="C15" s="106"/>
      <c r="D15" s="107"/>
      <c r="E15" s="10">
        <f>E12-(E13-E14)</f>
        <v>409935.29879999906</v>
      </c>
      <c r="F15" s="17" t="s">
        <v>3</v>
      </c>
      <c r="G15" s="1"/>
    </row>
    <row r="16" spans="1:7" x14ac:dyDescent="0.45">
      <c r="A16" s="1"/>
      <c r="B16" s="43"/>
      <c r="C16" s="44"/>
      <c r="D16" s="44"/>
      <c r="E16" s="44"/>
      <c r="F16" s="20"/>
      <c r="G16" s="1"/>
    </row>
    <row r="17" spans="1:7" ht="30" customHeight="1" x14ac:dyDescent="0.45">
      <c r="A17" s="1"/>
      <c r="B17" s="85" t="s">
        <v>132</v>
      </c>
      <c r="C17" s="86"/>
      <c r="D17" s="86"/>
      <c r="E17" s="86"/>
      <c r="F17" s="87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4" t="s">
        <v>50</v>
      </c>
      <c r="C19" s="95"/>
      <c r="D19" s="95"/>
      <c r="E19" s="95"/>
      <c r="F19" s="96"/>
      <c r="G19" s="1"/>
    </row>
    <row r="20" spans="1:7" x14ac:dyDescent="0.45">
      <c r="A20" s="1"/>
      <c r="B20" s="97" t="s">
        <v>51</v>
      </c>
      <c r="C20" s="98"/>
      <c r="D20" s="99"/>
      <c r="E20" s="9">
        <v>11155948.540609756</v>
      </c>
      <c r="F20" s="14" t="s">
        <v>3</v>
      </c>
      <c r="G20" s="1"/>
    </row>
    <row r="21" spans="1:7" x14ac:dyDescent="0.45">
      <c r="A21" s="1"/>
      <c r="B21" s="97" t="s">
        <v>52</v>
      </c>
      <c r="C21" s="98"/>
      <c r="D21" s="99"/>
      <c r="E21" s="9">
        <v>11922313</v>
      </c>
      <c r="F21" s="14" t="s">
        <v>3</v>
      </c>
      <c r="G21" s="1"/>
    </row>
    <row r="22" spans="1:7" x14ac:dyDescent="0.45">
      <c r="A22" s="1"/>
      <c r="B22" s="97" t="s">
        <v>36</v>
      </c>
      <c r="C22" s="98"/>
      <c r="D22" s="99"/>
      <c r="E22" s="9">
        <v>0</v>
      </c>
      <c r="F22" s="14" t="s">
        <v>3</v>
      </c>
      <c r="G22" s="1"/>
    </row>
    <row r="23" spans="1:7" x14ac:dyDescent="0.45">
      <c r="A23" s="1"/>
      <c r="B23" s="105" t="s">
        <v>207</v>
      </c>
      <c r="C23" s="106"/>
      <c r="D23" s="107"/>
      <c r="E23" s="10">
        <f>E20-(E21-E22)</f>
        <v>-766364.45939024352</v>
      </c>
      <c r="F23" s="17" t="s">
        <v>3</v>
      </c>
      <c r="G23" s="1"/>
    </row>
    <row r="24" spans="1:7" x14ac:dyDescent="0.45">
      <c r="A24" s="1"/>
      <c r="B24" s="43"/>
      <c r="C24" s="44"/>
      <c r="D24" s="44"/>
      <c r="E24" s="44"/>
      <c r="F24" s="20"/>
      <c r="G24" s="1"/>
    </row>
    <row r="25" spans="1:7" ht="28.5" customHeight="1" x14ac:dyDescent="0.45">
      <c r="A25" s="1"/>
      <c r="B25" s="85" t="s">
        <v>178</v>
      </c>
      <c r="C25" s="86"/>
      <c r="D25" s="86"/>
      <c r="E25" s="86"/>
      <c r="F25" s="87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4" t="s">
        <v>199</v>
      </c>
      <c r="C27" s="95"/>
      <c r="D27" s="95"/>
      <c r="E27" s="95"/>
      <c r="F27" s="96"/>
      <c r="G27" s="1"/>
    </row>
    <row r="28" spans="1:7" x14ac:dyDescent="0.45">
      <c r="A28" s="1"/>
      <c r="B28" s="97" t="s">
        <v>200</v>
      </c>
      <c r="C28" s="98"/>
      <c r="D28" s="99"/>
      <c r="E28" s="9">
        <v>11396730.956635522</v>
      </c>
      <c r="F28" s="14" t="s">
        <v>3</v>
      </c>
      <c r="G28" s="1"/>
    </row>
    <row r="29" spans="1:7" x14ac:dyDescent="0.45">
      <c r="A29" s="1"/>
      <c r="B29" s="97" t="s">
        <v>201</v>
      </c>
      <c r="C29" s="98"/>
      <c r="D29" s="99"/>
      <c r="E29" s="9">
        <v>11022495</v>
      </c>
      <c r="F29" s="14" t="s">
        <v>3</v>
      </c>
      <c r="G29" s="1"/>
    </row>
    <row r="30" spans="1:7" x14ac:dyDescent="0.45">
      <c r="A30" s="1"/>
      <c r="B30" s="97" t="s">
        <v>36</v>
      </c>
      <c r="C30" s="98"/>
      <c r="D30" s="99"/>
      <c r="E30" s="9">
        <v>0</v>
      </c>
      <c r="F30" s="14" t="s">
        <v>3</v>
      </c>
      <c r="G30" s="1"/>
    </row>
    <row r="31" spans="1:7" x14ac:dyDescent="0.45">
      <c r="A31" s="1"/>
      <c r="B31" s="105" t="s">
        <v>208</v>
      </c>
      <c r="C31" s="106"/>
      <c r="D31" s="107"/>
      <c r="E31" s="10">
        <f>E28-(E29-E30)</f>
        <v>374235.95663552172</v>
      </c>
      <c r="F31" s="17" t="s">
        <v>3</v>
      </c>
      <c r="G31" s="1"/>
    </row>
    <row r="32" spans="1:7" x14ac:dyDescent="0.45">
      <c r="A32" s="1"/>
      <c r="B32" s="43"/>
      <c r="C32" s="44"/>
      <c r="D32" s="44"/>
      <c r="E32" s="44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4" t="s">
        <v>124</v>
      </c>
      <c r="C34" s="95"/>
      <c r="D34" s="95"/>
      <c r="E34" s="95"/>
      <c r="F34" s="96"/>
      <c r="G34" s="1"/>
    </row>
    <row r="35" spans="1:7" x14ac:dyDescent="0.45">
      <c r="A35" s="1"/>
      <c r="B35" s="108" t="s">
        <v>39</v>
      </c>
      <c r="C35" s="109"/>
      <c r="D35" s="110"/>
      <c r="E35" s="9">
        <f>E7</f>
        <v>685370.09406444349</v>
      </c>
      <c r="F35" s="14" t="s">
        <v>3</v>
      </c>
      <c r="G35" s="1"/>
    </row>
    <row r="36" spans="1:7" x14ac:dyDescent="0.45">
      <c r="A36" s="1"/>
      <c r="B36" s="108" t="s">
        <v>240</v>
      </c>
      <c r="C36" s="109"/>
      <c r="D36" s="110"/>
      <c r="E36" s="9">
        <f>IF(E15+E23+E31&lt;0,E15+E23+E31,0)</f>
        <v>0</v>
      </c>
      <c r="F36" s="14" t="s">
        <v>3</v>
      </c>
      <c r="G36" s="1"/>
    </row>
    <row r="37" spans="1:7" x14ac:dyDescent="0.45">
      <c r="A37" s="1"/>
      <c r="B37" s="108" t="s">
        <v>129</v>
      </c>
      <c r="C37" s="109"/>
      <c r="D37" s="110"/>
      <c r="E37" s="9">
        <v>2</v>
      </c>
      <c r="F37" s="14" t="s">
        <v>19</v>
      </c>
      <c r="G37" s="1"/>
    </row>
    <row r="38" spans="1:7" x14ac:dyDescent="0.45">
      <c r="A38" s="1"/>
      <c r="B38" s="111" t="s">
        <v>241</v>
      </c>
      <c r="C38" s="111"/>
      <c r="D38" s="111"/>
      <c r="E38" s="10">
        <f>E35/E37</f>
        <v>342685.04703222174</v>
      </c>
      <c r="F38" s="17" t="s">
        <v>3</v>
      </c>
      <c r="G38" s="1"/>
    </row>
    <row r="39" spans="1:7" ht="15" customHeight="1" x14ac:dyDescent="0.45">
      <c r="A39" s="1"/>
      <c r="B39" s="111" t="s">
        <v>242</v>
      </c>
      <c r="C39" s="111"/>
      <c r="D39" s="111"/>
      <c r="E39" s="10">
        <f>E36/E37</f>
        <v>0</v>
      </c>
      <c r="F39" s="17" t="s">
        <v>3</v>
      </c>
      <c r="G39" s="1"/>
    </row>
    <row r="40" spans="1:7" x14ac:dyDescent="0.45">
      <c r="A40" s="1"/>
      <c r="B40" s="94"/>
      <c r="C40" s="95"/>
      <c r="D40" s="95"/>
      <c r="E40" s="95"/>
      <c r="F40" s="96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5IE9VYqDA0y1ogutAbgJsGXtfVUUcL40zZscQHITxbyHWI2iDuLYQn1opbyMsgnlGlRGDQPF+O8v5NGHUoXYUg==" saltValue="AB+NSsuYY7AdAhV5Ka1ecA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6:D36"/>
    <mergeCell ref="B37:D37"/>
    <mergeCell ref="B39:D39"/>
    <mergeCell ref="B27:F27"/>
    <mergeCell ref="B28:D28"/>
    <mergeCell ref="B29:D29"/>
    <mergeCell ref="B30:D30"/>
    <mergeCell ref="B31:D31"/>
    <mergeCell ref="B25:F25"/>
    <mergeCell ref="B35:D35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1" t="s">
        <v>214</v>
      </c>
      <c r="C3" s="71"/>
      <c r="D3" s="71"/>
      <c r="E3" s="71"/>
      <c r="F3" s="71"/>
      <c r="G3" s="71"/>
      <c r="H3" s="71"/>
      <c r="I3" s="1"/>
    </row>
    <row r="4" spans="1:9" ht="15" customHeight="1" x14ac:dyDescent="0.4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196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45">
      <c r="A10" s="1"/>
      <c r="B10" s="51" t="s">
        <v>237</v>
      </c>
      <c r="C10" s="5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4" t="s">
        <v>197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213</v>
      </c>
      <c r="C3" s="71"/>
      <c r="D3" s="71"/>
      <c r="E3" s="71"/>
      <c r="F3" s="71"/>
      <c r="G3" s="1"/>
    </row>
    <row r="4" spans="1:7" ht="1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94</v>
      </c>
      <c r="C8" s="44"/>
      <c r="D8" s="44"/>
      <c r="E8" s="44"/>
      <c r="F8" s="20"/>
      <c r="G8" s="1"/>
    </row>
    <row r="9" spans="1:7" ht="17.25" customHeight="1" x14ac:dyDescent="0.45">
      <c r="A9" s="1"/>
      <c r="B9" s="45" t="s">
        <v>16</v>
      </c>
      <c r="C9" s="45" t="s">
        <v>11</v>
      </c>
      <c r="D9" s="46"/>
      <c r="E9" s="45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3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3" t="s">
        <v>172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212</v>
      </c>
      <c r="C3" s="71"/>
      <c r="D3" s="71"/>
      <c r="E3" s="71"/>
      <c r="F3" s="71"/>
      <c r="G3" s="1"/>
    </row>
    <row r="4" spans="1:7" ht="1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118</v>
      </c>
      <c r="C8" s="95"/>
      <c r="D8" s="95"/>
      <c r="E8" s="95"/>
      <c r="F8" s="96"/>
      <c r="G8" s="1"/>
    </row>
    <row r="9" spans="1:7" x14ac:dyDescent="0.45">
      <c r="A9" s="1"/>
      <c r="B9" s="45" t="s">
        <v>16</v>
      </c>
      <c r="C9" s="45" t="s">
        <v>11</v>
      </c>
      <c r="D9" s="46"/>
      <c r="E9" s="45" t="s">
        <v>34</v>
      </c>
      <c r="F9" s="42"/>
      <c r="G9" s="1"/>
    </row>
    <row r="10" spans="1:7" x14ac:dyDescent="0.45">
      <c r="A10" s="1"/>
      <c r="B10" s="25" t="s">
        <v>234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3" t="s">
        <v>173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122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3" t="s">
        <v>121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119</v>
      </c>
      <c r="C16" s="95"/>
      <c r="D16" s="95"/>
      <c r="E16" s="95"/>
      <c r="F16" s="96"/>
      <c r="G16" s="1"/>
    </row>
    <row r="17" spans="1:7" x14ac:dyDescent="0.45">
      <c r="A17" s="1"/>
      <c r="B17" s="45" t="s">
        <v>16</v>
      </c>
      <c r="C17" s="45" t="s">
        <v>11</v>
      </c>
      <c r="D17" s="46"/>
      <c r="E17" s="45" t="s">
        <v>34</v>
      </c>
      <c r="F17" s="42"/>
      <c r="G17" s="1"/>
    </row>
    <row r="18" spans="1:7" x14ac:dyDescent="0.45">
      <c r="A18" s="1"/>
      <c r="B18" s="25" t="s">
        <v>234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3" t="s">
        <v>173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122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3" t="s">
        <v>174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120</v>
      </c>
      <c r="C24" s="95"/>
      <c r="D24" s="95"/>
      <c r="E24" s="95"/>
      <c r="F24" s="96"/>
      <c r="G24" s="1"/>
    </row>
    <row r="25" spans="1:7" x14ac:dyDescent="0.45">
      <c r="A25" s="1"/>
      <c r="B25" s="45" t="s">
        <v>16</v>
      </c>
      <c r="C25" s="45" t="s">
        <v>11</v>
      </c>
      <c r="D25" s="46"/>
      <c r="E25" s="45" t="s">
        <v>34</v>
      </c>
      <c r="F25" s="42"/>
      <c r="G25" s="1"/>
    </row>
    <row r="26" spans="1:7" x14ac:dyDescent="0.45">
      <c r="A26" s="1"/>
      <c r="B26" s="25" t="s">
        <v>234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3" t="s">
        <v>173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122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3" t="s">
        <v>183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175</v>
      </c>
      <c r="C32" s="95"/>
      <c r="D32" s="95"/>
      <c r="E32" s="95"/>
      <c r="F32" s="96"/>
      <c r="G32" s="1"/>
    </row>
    <row r="33" spans="1:7" x14ac:dyDescent="0.45">
      <c r="A33" s="1"/>
      <c r="B33" s="45" t="s">
        <v>16</v>
      </c>
      <c r="C33" s="45" t="s">
        <v>11</v>
      </c>
      <c r="D33" s="46"/>
      <c r="E33" s="45" t="s">
        <v>34</v>
      </c>
      <c r="F33" s="42"/>
      <c r="G33" s="1"/>
    </row>
    <row r="34" spans="1:7" x14ac:dyDescent="0.45">
      <c r="A34" s="1"/>
      <c r="B34" s="25" t="s">
        <v>234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3" t="s">
        <v>173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122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3" t="s">
        <v>184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211</v>
      </c>
      <c r="C3" s="81"/>
      <c r="D3" s="81"/>
      <c r="E3" s="81"/>
      <c r="F3" s="81"/>
      <c r="G3" s="1"/>
    </row>
    <row r="4" spans="1:7" ht="25.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155</v>
      </c>
      <c r="C8" s="95"/>
      <c r="D8" s="95"/>
      <c r="E8" s="95"/>
      <c r="F8" s="96"/>
      <c r="G8" s="1"/>
    </row>
    <row r="9" spans="1:7" ht="15" customHeight="1" x14ac:dyDescent="0.45">
      <c r="A9" s="1"/>
      <c r="B9" s="41" t="s">
        <v>156</v>
      </c>
      <c r="C9" s="91" t="s">
        <v>11</v>
      </c>
      <c r="D9" s="93"/>
      <c r="E9" s="91" t="s">
        <v>34</v>
      </c>
      <c r="F9" s="93"/>
      <c r="G9" s="1"/>
    </row>
    <row r="10" spans="1:7" x14ac:dyDescent="0.45">
      <c r="A10" s="1"/>
      <c r="B10" s="25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176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210</v>
      </c>
      <c r="C3" s="81"/>
      <c r="D3" s="81"/>
      <c r="E3" s="81"/>
      <c r="F3" s="81"/>
      <c r="G3" s="1"/>
    </row>
    <row r="4" spans="1:7" ht="25.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111</v>
      </c>
      <c r="C8" s="95"/>
      <c r="D8" s="95"/>
      <c r="E8" s="95"/>
      <c r="F8" s="96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3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3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4" t="s">
        <v>110</v>
      </c>
      <c r="C15" s="95"/>
      <c r="D15" s="95"/>
      <c r="E15" s="95"/>
      <c r="F15" s="96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3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3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4" t="s">
        <v>112</v>
      </c>
      <c r="C22" s="95"/>
      <c r="D22" s="95"/>
      <c r="E22" s="95"/>
      <c r="F22" s="96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3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3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4" t="s">
        <v>181</v>
      </c>
      <c r="C29" s="95"/>
      <c r="D29" s="95"/>
      <c r="E29" s="95"/>
      <c r="F29" s="96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3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3" t="s">
        <v>182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1" t="s">
        <v>209</v>
      </c>
      <c r="C3" s="81"/>
      <c r="D3" s="1"/>
    </row>
    <row r="4" spans="1:4" ht="25.5" customHeight="1" x14ac:dyDescent="0.45">
      <c r="A4" s="1"/>
      <c r="B4" s="81"/>
      <c r="C4" s="8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20"/>
      <c r="D8" s="1"/>
    </row>
    <row r="9" spans="1:4" x14ac:dyDescent="0.45">
      <c r="A9" s="1"/>
      <c r="B9" s="48" t="s">
        <v>140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141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177</v>
      </c>
      <c r="C13" s="35">
        <v>1.2200000000000001E-2</v>
      </c>
      <c r="D13" s="1"/>
    </row>
    <row r="14" spans="1:4" x14ac:dyDescent="0.45">
      <c r="A14" s="1"/>
      <c r="B14" s="94"/>
      <c r="C14" s="96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125</v>
      </c>
      <c r="C17" s="20"/>
      <c r="D17" s="1"/>
    </row>
    <row r="18" spans="1:4" x14ac:dyDescent="0.45">
      <c r="A18" s="1"/>
      <c r="B18" s="48" t="s">
        <v>142</v>
      </c>
      <c r="C18" s="23">
        <v>9.1000000000000004E-3</v>
      </c>
      <c r="D18" s="1"/>
    </row>
    <row r="19" spans="1:4" x14ac:dyDescent="0.45">
      <c r="A19" s="1"/>
      <c r="B19" s="48" t="s">
        <v>143</v>
      </c>
      <c r="C19" s="23">
        <v>1.77E-2</v>
      </c>
      <c r="D19" s="1"/>
    </row>
    <row r="20" spans="1:4" x14ac:dyDescent="0.45">
      <c r="A20" s="1"/>
      <c r="B20" s="48" t="s">
        <v>144</v>
      </c>
      <c r="C20" s="23">
        <v>8.6999999999999994E-3</v>
      </c>
      <c r="D20" s="1"/>
    </row>
    <row r="21" spans="1:4" x14ac:dyDescent="0.45">
      <c r="A21" s="1"/>
      <c r="B21" s="48" t="s">
        <v>145</v>
      </c>
      <c r="C21" s="36">
        <v>2.8400000000000002E-2</v>
      </c>
      <c r="D21" s="1"/>
    </row>
    <row r="22" spans="1:4" x14ac:dyDescent="0.45">
      <c r="A22" s="1"/>
      <c r="B22" s="48" t="s">
        <v>185</v>
      </c>
      <c r="C22" s="36">
        <v>2.75E-2</v>
      </c>
      <c r="D22" s="1"/>
    </row>
    <row r="23" spans="1:4" x14ac:dyDescent="0.45">
      <c r="A23" s="1"/>
      <c r="B23" s="43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3" t="s">
        <v>126</v>
      </c>
      <c r="C26" s="20"/>
      <c r="D26" s="1"/>
    </row>
    <row r="27" spans="1:4" x14ac:dyDescent="0.45">
      <c r="A27" s="1"/>
      <c r="B27" s="48" t="s">
        <v>146</v>
      </c>
      <c r="C27" s="26">
        <v>0.02</v>
      </c>
      <c r="D27" s="1"/>
    </row>
    <row r="28" spans="1:4" x14ac:dyDescent="0.45">
      <c r="A28" s="1"/>
      <c r="B28" s="43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43" t="s">
        <v>126</v>
      </c>
      <c r="C30" s="20"/>
      <c r="D30" s="1"/>
    </row>
    <row r="31" spans="1:4" x14ac:dyDescent="0.45">
      <c r="A31" s="1"/>
      <c r="B31" s="48" t="s">
        <v>239</v>
      </c>
      <c r="C31" s="26">
        <v>1.7000000000000001E-2</v>
      </c>
      <c r="D31" s="1"/>
    </row>
    <row r="32" spans="1:4" x14ac:dyDescent="0.45">
      <c r="A32" s="1"/>
      <c r="B32" s="43"/>
      <c r="C32" s="20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160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3" t="s">
        <v>13</v>
      </c>
      <c r="C8" s="44"/>
      <c r="D8" s="20"/>
      <c r="E8" s="1"/>
    </row>
    <row r="9" spans="1:5" x14ac:dyDescent="0.45">
      <c r="A9" s="1"/>
      <c r="B9" s="47" t="s">
        <v>25</v>
      </c>
      <c r="C9" s="7">
        <f>'Fane 3. Omkostninger i ØR2020'!E20</f>
        <v>5965101.4182639606</v>
      </c>
      <c r="D9" s="8" t="s">
        <v>3</v>
      </c>
      <c r="E9" s="1"/>
    </row>
    <row r="10" spans="1:5" ht="26.65" x14ac:dyDescent="0.45">
      <c r="A10" s="1"/>
      <c r="B10" s="47" t="s">
        <v>244</v>
      </c>
      <c r="C10" s="7">
        <v>32.36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158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159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72774.632094820336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0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-59508.198668557117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-84218.697225190816</v>
      </c>
      <c r="D20" s="8" t="s">
        <v>3</v>
      </c>
      <c r="E20" s="1"/>
    </row>
    <row r="21" spans="1:5" ht="17.100000000000001" customHeight="1" x14ac:dyDescent="0.45">
      <c r="A21" s="1"/>
      <c r="B21" s="49" t="s">
        <v>20</v>
      </c>
      <c r="C21" s="10">
        <f>SUM(C9:C20)</f>
        <v>5894181.5144650331</v>
      </c>
      <c r="D21" s="11" t="s">
        <v>3</v>
      </c>
      <c r="E21" s="1"/>
    </row>
    <row r="22" spans="1:5" ht="15" customHeight="1" x14ac:dyDescent="0.45">
      <c r="A22" s="1"/>
      <c r="B22" s="43" t="s">
        <v>12</v>
      </c>
      <c r="C22" s="44"/>
      <c r="D22" s="20"/>
      <c r="E22" s="1"/>
    </row>
    <row r="23" spans="1:5" ht="15" customHeight="1" x14ac:dyDescent="0.45">
      <c r="A23" s="1"/>
      <c r="B23" s="41" t="s">
        <v>12</v>
      </c>
      <c r="C23" s="10">
        <f>'Fane 6. Ikke-påvirkelige omk.'!C15</f>
        <v>5639076.8579552397</v>
      </c>
      <c r="D23" s="11" t="s">
        <v>3</v>
      </c>
      <c r="E23" s="1"/>
    </row>
    <row r="24" spans="1:5" ht="15" customHeight="1" x14ac:dyDescent="0.45">
      <c r="A24" s="1"/>
      <c r="B24" s="43" t="s">
        <v>99</v>
      </c>
      <c r="C24" s="44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49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202</v>
      </c>
      <c r="C28" s="44"/>
      <c r="D28" s="20"/>
      <c r="E28" s="1"/>
    </row>
    <row r="29" spans="1:5" ht="15" customHeight="1" x14ac:dyDescent="0.45">
      <c r="A29" s="1"/>
      <c r="B29" s="50" t="s">
        <v>39</v>
      </c>
      <c r="C29" s="10">
        <f>'Fane 7. Kontrol af ØR2019'!E38</f>
        <v>342685.04703222174</v>
      </c>
      <c r="D29" s="11" t="s">
        <v>3</v>
      </c>
      <c r="E29" s="1"/>
    </row>
    <row r="30" spans="1:5" x14ac:dyDescent="0.45">
      <c r="A30" s="1"/>
      <c r="B30" s="50" t="s">
        <v>203</v>
      </c>
      <c r="C30" s="10">
        <f>'Fane 7. Kontrol af ØR2019'!E39</f>
        <v>0</v>
      </c>
      <c r="D30" s="11" t="s">
        <v>3</v>
      </c>
      <c r="E30" s="1"/>
    </row>
    <row r="31" spans="1:5" x14ac:dyDescent="0.45">
      <c r="A31" s="1"/>
      <c r="B31" s="43" t="s">
        <v>31</v>
      </c>
      <c r="C31" s="32">
        <f>SUM(C21,C23,C27,C29,C30)</f>
        <v>11875943.419452496</v>
      </c>
      <c r="D31" s="20" t="s">
        <v>3</v>
      </c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C7ZzHurF4BkbXy7PnwnOKx3HojkKm4ltoWhWkTOs+Xsh6eP2BR+/1QFakT6yuK0CX0YabCk5UwxhFw6Yt9Cdg==" saltValue="tU3nAML87kIJkVzxiXanb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161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/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3" t="s">
        <v>13</v>
      </c>
      <c r="C8" s="44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2021'!C21</f>
        <v>5894181.5144650331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71909.014476473414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-59029.514718467239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-82901.895784726337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5824159.1184383128</v>
      </c>
      <c r="D16" s="11" t="s">
        <v>3</v>
      </c>
      <c r="E16" s="1"/>
    </row>
    <row r="17" spans="1:5" x14ac:dyDescent="0.45">
      <c r="A17" s="1"/>
      <c r="B17" s="43" t="s">
        <v>12</v>
      </c>
      <c r="C17" s="44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omk.'!C15*(1+'Fane 12. Nøgletal'!C13)</f>
        <v>5707873.5956222937</v>
      </c>
      <c r="D18" s="11" t="s">
        <v>3</v>
      </c>
      <c r="E18" s="1"/>
    </row>
    <row r="19" spans="1:5" ht="15" customHeight="1" x14ac:dyDescent="0.45">
      <c r="A19" s="1"/>
      <c r="B19" s="43" t="s">
        <v>99</v>
      </c>
      <c r="C19" s="44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202</v>
      </c>
      <c r="C23" s="44"/>
      <c r="D23" s="20"/>
      <c r="E23" s="1"/>
    </row>
    <row r="24" spans="1:5" x14ac:dyDescent="0.45">
      <c r="A24" s="1"/>
      <c r="B24" s="50" t="s">
        <v>39</v>
      </c>
      <c r="C24" s="10">
        <f>'Fane 7. Kontrol af ØR2019'!E38</f>
        <v>342685.04703222174</v>
      </c>
      <c r="D24" s="11" t="s">
        <v>3</v>
      </c>
      <c r="E24" s="1"/>
    </row>
    <row r="25" spans="1:5" ht="15" customHeight="1" x14ac:dyDescent="0.45">
      <c r="A25" s="1"/>
      <c r="B25" s="50" t="s">
        <v>203</v>
      </c>
      <c r="C25" s="10">
        <f>'Fane 7. Kontrol af ØR2019'!E39</f>
        <v>0</v>
      </c>
      <c r="D25" s="11" t="s">
        <v>3</v>
      </c>
      <c r="E25" s="1"/>
    </row>
    <row r="26" spans="1:5" x14ac:dyDescent="0.45">
      <c r="A26" s="1"/>
      <c r="B26" s="43" t="s">
        <v>32</v>
      </c>
      <c r="C26" s="12">
        <f>SUM(C16,C18,C22,C24,C25)</f>
        <v>11874717.761092829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162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 t="s">
        <v>21</v>
      </c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3" t="s">
        <v>13</v>
      </c>
      <c r="C7" s="44"/>
      <c r="D7" s="20"/>
      <c r="E7" s="1"/>
    </row>
    <row r="8" spans="1:5" ht="15" customHeight="1" x14ac:dyDescent="0.45">
      <c r="A8" s="1"/>
      <c r="B8" s="47" t="s">
        <v>164</v>
      </c>
      <c r="C8" s="7">
        <f>'Fane 2.2. Økonomisk ramme 2022'!C16</f>
        <v>5824159.1184383128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71054.741244947421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-58554.681302071884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-81605.683193184246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5755053.4951880043</v>
      </c>
      <c r="D15" s="11" t="s">
        <v>3</v>
      </c>
      <c r="E15" s="1"/>
    </row>
    <row r="16" spans="1:5" x14ac:dyDescent="0.45">
      <c r="A16" s="1"/>
      <c r="B16" s="43" t="s">
        <v>12</v>
      </c>
      <c r="C16" s="44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omk.'!C15*(1+'Fane 12. Nøgletal'!C13)^2</f>
        <v>5777509.6534888856</v>
      </c>
      <c r="D17" s="11" t="s">
        <v>3</v>
      </c>
      <c r="E17" s="1"/>
    </row>
    <row r="18" spans="1:5" ht="15" customHeight="1" x14ac:dyDescent="0.45">
      <c r="A18" s="1"/>
      <c r="B18" s="43" t="s">
        <v>99</v>
      </c>
      <c r="C18" s="44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3" t="s">
        <v>109</v>
      </c>
      <c r="C22" s="12">
        <f>SUM(C15,C17,C21)</f>
        <v>11532563.148676891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163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 t="s">
        <v>21</v>
      </c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3" t="s">
        <v>13</v>
      </c>
      <c r="C7" s="44"/>
      <c r="D7" s="20"/>
      <c r="E7" s="1"/>
    </row>
    <row r="8" spans="1:5" ht="15" customHeight="1" x14ac:dyDescent="0.45">
      <c r="A8" s="1"/>
      <c r="B8" s="47" t="s">
        <v>165</v>
      </c>
      <c r="C8" s="7">
        <f>'Fane 2.3. Økonomisk ramme 2023'!C15</f>
        <v>5755053.4951880043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70211.652641293651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-58083.667445678017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-80329.737533617212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5686851.7428500028</v>
      </c>
      <c r="D15" s="11" t="s">
        <v>3</v>
      </c>
      <c r="E15" s="1"/>
    </row>
    <row r="16" spans="1:5" x14ac:dyDescent="0.45">
      <c r="A16" s="1"/>
      <c r="B16" s="43" t="s">
        <v>12</v>
      </c>
      <c r="C16" s="44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omk.'!C15*(1+'Fane 12. Nøgletal'!C13)^3</f>
        <v>5847995.2712614499</v>
      </c>
      <c r="D17" s="11" t="s">
        <v>3</v>
      </c>
      <c r="E17" s="1"/>
    </row>
    <row r="18" spans="1:5" ht="15" customHeight="1" x14ac:dyDescent="0.45">
      <c r="A18" s="1"/>
      <c r="B18" s="43" t="s">
        <v>99</v>
      </c>
      <c r="C18" s="44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3" t="s">
        <v>243</v>
      </c>
      <c r="C22" s="12">
        <f>SUM(C15,C17,C21)</f>
        <v>11534847.014111452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6zVdyXE/x12aaTJU7cdh5UHrnwWskUpTHEDr/VFBVAhKnXeNFILI5cTxmDOxNU8PMaq+FjKWSQPbZmjmFmqW8w==" saltValue="dKYHg9Acthb0GurkAjTSv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179</v>
      </c>
      <c r="C3" s="81"/>
      <c r="D3" s="81"/>
      <c r="E3" s="81"/>
      <c r="F3" s="81"/>
      <c r="G3" s="1"/>
    </row>
    <row r="4" spans="1:7" ht="29.2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166</v>
      </c>
      <c r="C8" s="44"/>
      <c r="D8" s="44"/>
      <c r="E8" s="44"/>
      <c r="F8" s="20"/>
      <c r="G8" s="1"/>
    </row>
    <row r="9" spans="1:7" x14ac:dyDescent="0.45">
      <c r="A9" s="1"/>
      <c r="B9" s="82" t="s">
        <v>23</v>
      </c>
      <c r="C9" s="83"/>
      <c r="D9" s="84"/>
      <c r="E9" s="7">
        <v>5992161.4199999999</v>
      </c>
      <c r="F9" s="8" t="s">
        <v>3</v>
      </c>
      <c r="G9" s="1"/>
    </row>
    <row r="10" spans="1:7" ht="15" customHeight="1" x14ac:dyDescent="0.45">
      <c r="A10" s="1"/>
      <c r="B10" s="73" t="s">
        <v>45</v>
      </c>
      <c r="C10" s="74"/>
      <c r="D10" s="75"/>
      <c r="E10" s="7">
        <v>0</v>
      </c>
      <c r="F10" s="8" t="s">
        <v>3</v>
      </c>
      <c r="G10" s="1"/>
    </row>
    <row r="11" spans="1:7" ht="15" customHeight="1" x14ac:dyDescent="0.45">
      <c r="A11" s="1"/>
      <c r="B11" s="73" t="s">
        <v>46</v>
      </c>
      <c r="C11" s="74"/>
      <c r="D11" s="75"/>
      <c r="E11" s="9">
        <v>0</v>
      </c>
      <c r="F11" s="8" t="s">
        <v>3</v>
      </c>
      <c r="G11" s="1"/>
    </row>
    <row r="12" spans="1:7" x14ac:dyDescent="0.45">
      <c r="A12" s="1"/>
      <c r="B12" s="73" t="s">
        <v>30</v>
      </c>
      <c r="C12" s="74"/>
      <c r="D12" s="75"/>
      <c r="E12" s="9">
        <v>0</v>
      </c>
      <c r="F12" s="8" t="s">
        <v>3</v>
      </c>
      <c r="G12" s="1"/>
    </row>
    <row r="13" spans="1:7" x14ac:dyDescent="0.45">
      <c r="A13" s="1"/>
      <c r="B13" s="73" t="s">
        <v>29</v>
      </c>
      <c r="C13" s="74"/>
      <c r="D13" s="75"/>
      <c r="E13" s="9">
        <v>0</v>
      </c>
      <c r="F13" s="8" t="s">
        <v>3</v>
      </c>
      <c r="G13" s="1"/>
    </row>
    <row r="14" spans="1:7" x14ac:dyDescent="0.45">
      <c r="A14" s="1"/>
      <c r="B14" s="73" t="s">
        <v>158</v>
      </c>
      <c r="C14" s="74"/>
      <c r="D14" s="75"/>
      <c r="E14" s="9">
        <v>0</v>
      </c>
      <c r="F14" s="8" t="s">
        <v>3</v>
      </c>
      <c r="G14" s="1"/>
    </row>
    <row r="15" spans="1:7" x14ac:dyDescent="0.45">
      <c r="A15" s="1"/>
      <c r="B15" s="73" t="s">
        <v>159</v>
      </c>
      <c r="C15" s="74"/>
      <c r="D15" s="75"/>
      <c r="E15" s="9">
        <v>0</v>
      </c>
      <c r="F15" s="8" t="s">
        <v>3</v>
      </c>
      <c r="G15" s="1"/>
    </row>
    <row r="16" spans="1:7" x14ac:dyDescent="0.45">
      <c r="A16" s="1"/>
      <c r="B16" s="73" t="s">
        <v>18</v>
      </c>
      <c r="C16" s="74"/>
      <c r="D16" s="75"/>
      <c r="E16" s="9">
        <f>SUM(E9:E15)*'Fane 12. Nøgletal'!C9</f>
        <v>76100.450033999994</v>
      </c>
      <c r="F16" s="8" t="s">
        <v>3</v>
      </c>
      <c r="G16" s="1"/>
    </row>
    <row r="17" spans="1:7" x14ac:dyDescent="0.45">
      <c r="A17" s="1"/>
      <c r="B17" s="73" t="s">
        <v>9</v>
      </c>
      <c r="C17" s="74"/>
      <c r="D17" s="75"/>
      <c r="E17" s="9" t="s">
        <v>238</v>
      </c>
      <c r="F17" s="8" t="s">
        <v>3</v>
      </c>
      <c r="G17" s="1"/>
    </row>
    <row r="18" spans="1:7" x14ac:dyDescent="0.45">
      <c r="A18" s="1"/>
      <c r="B18" s="73" t="s">
        <v>27</v>
      </c>
      <c r="C18" s="74"/>
      <c r="D18" s="75"/>
      <c r="E18" s="9">
        <f>-'Fane 4.1. Gen. krav - drift'!G25</f>
        <v>-50836.251252796807</v>
      </c>
      <c r="F18" s="8" t="s">
        <v>3</v>
      </c>
      <c r="G18" s="1"/>
    </row>
    <row r="19" spans="1:7" x14ac:dyDescent="0.45">
      <c r="A19" s="1"/>
      <c r="B19" s="73" t="s">
        <v>28</v>
      </c>
      <c r="C19" s="74"/>
      <c r="D19" s="75"/>
      <c r="E19" s="9">
        <f>-'Fane 4.2. Gen. krav - anlæg'!G25</f>
        <v>-52324.200517242549</v>
      </c>
      <c r="F19" s="8" t="s">
        <v>3</v>
      </c>
      <c r="G19" s="1"/>
    </row>
    <row r="20" spans="1:7" x14ac:dyDescent="0.45">
      <c r="A20" s="1"/>
      <c r="B20" s="88" t="s">
        <v>20</v>
      </c>
      <c r="C20" s="89"/>
      <c r="D20" s="90"/>
      <c r="E20" s="10">
        <f>SUM(E9:E19)</f>
        <v>5965101.4182639606</v>
      </c>
      <c r="F20" s="11" t="s">
        <v>3</v>
      </c>
      <c r="G20" s="1"/>
    </row>
    <row r="21" spans="1:7" x14ac:dyDescent="0.45">
      <c r="A21" s="1"/>
      <c r="B21" s="76" t="s">
        <v>12</v>
      </c>
      <c r="C21" s="77"/>
      <c r="D21" s="77"/>
      <c r="E21" s="44"/>
      <c r="F21" s="20"/>
      <c r="G21" s="1"/>
    </row>
    <row r="22" spans="1:7" x14ac:dyDescent="0.45">
      <c r="A22" s="1"/>
      <c r="B22" s="78" t="s">
        <v>12</v>
      </c>
      <c r="C22" s="79"/>
      <c r="D22" s="80"/>
      <c r="E22" s="10">
        <v>6655096</v>
      </c>
      <c r="F22" s="11" t="s">
        <v>3</v>
      </c>
      <c r="G22" s="1"/>
    </row>
    <row r="23" spans="1:7" ht="15" customHeight="1" x14ac:dyDescent="0.45">
      <c r="A23" s="1"/>
      <c r="B23" s="76" t="s">
        <v>99</v>
      </c>
      <c r="C23" s="77"/>
      <c r="D23" s="77"/>
      <c r="E23" s="44"/>
      <c r="F23" s="44"/>
      <c r="G23" s="1"/>
    </row>
    <row r="24" spans="1:7" ht="14.25" customHeight="1" x14ac:dyDescent="0.45">
      <c r="A24" s="1"/>
      <c r="B24" s="85" t="s">
        <v>95</v>
      </c>
      <c r="C24" s="86"/>
      <c r="D24" s="87"/>
      <c r="E24" s="9">
        <v>0</v>
      </c>
      <c r="F24" s="8" t="s">
        <v>3</v>
      </c>
      <c r="G24" s="1"/>
    </row>
    <row r="25" spans="1:7" ht="14.25" customHeight="1" x14ac:dyDescent="0.45">
      <c r="A25" s="1"/>
      <c r="B25" s="85" t="s">
        <v>96</v>
      </c>
      <c r="C25" s="86"/>
      <c r="D25" s="87"/>
      <c r="E25" s="9">
        <v>0</v>
      </c>
      <c r="F25" s="8" t="s">
        <v>3</v>
      </c>
      <c r="G25" s="1"/>
    </row>
    <row r="26" spans="1:7" x14ac:dyDescent="0.45">
      <c r="A26" s="1"/>
      <c r="B26" s="91" t="s">
        <v>100</v>
      </c>
      <c r="C26" s="92"/>
      <c r="D26" s="92"/>
      <c r="E26" s="10">
        <v>0</v>
      </c>
      <c r="F26" s="11" t="s">
        <v>3</v>
      </c>
      <c r="G26" s="1"/>
    </row>
    <row r="27" spans="1:7" ht="14.25" customHeight="1" x14ac:dyDescent="0.45">
      <c r="A27" s="1"/>
      <c r="B27" s="43" t="s">
        <v>226</v>
      </c>
      <c r="C27" s="44"/>
      <c r="D27" s="44"/>
      <c r="E27" s="44"/>
      <c r="F27" s="44"/>
      <c r="G27" s="1"/>
    </row>
    <row r="28" spans="1:7" ht="13.15" customHeight="1" x14ac:dyDescent="0.45">
      <c r="A28" s="1"/>
      <c r="B28" s="91" t="s">
        <v>227</v>
      </c>
      <c r="C28" s="92"/>
      <c r="D28" s="93"/>
      <c r="E28" s="10">
        <v>-298642</v>
      </c>
      <c r="F28" s="11" t="s">
        <v>3</v>
      </c>
      <c r="G28" s="1"/>
    </row>
    <row r="29" spans="1:7" x14ac:dyDescent="0.45">
      <c r="A29" s="1"/>
      <c r="B29" s="43" t="s">
        <v>228</v>
      </c>
      <c r="C29" s="44"/>
      <c r="D29" s="44"/>
      <c r="E29" s="44"/>
      <c r="F29" s="20"/>
      <c r="G29" s="1"/>
    </row>
    <row r="30" spans="1:7" x14ac:dyDescent="0.45">
      <c r="A30" s="1"/>
      <c r="B30" s="78" t="s">
        <v>229</v>
      </c>
      <c r="C30" s="79"/>
      <c r="D30" s="80"/>
      <c r="E30" s="10">
        <v>0</v>
      </c>
      <c r="F30" s="11" t="s">
        <v>3</v>
      </c>
      <c r="G30" s="1"/>
    </row>
    <row r="31" spans="1:7" x14ac:dyDescent="0.45">
      <c r="A31" s="1"/>
      <c r="B31" s="43" t="s">
        <v>24</v>
      </c>
      <c r="C31" s="44"/>
      <c r="D31" s="44"/>
      <c r="E31" s="12">
        <f>SUM(E26,E28,E22,E20,E30)</f>
        <v>12321555.418263961</v>
      </c>
      <c r="F31" s="13" t="s">
        <v>3</v>
      </c>
      <c r="G31" s="1"/>
    </row>
    <row r="32" spans="1:7" ht="28.15" customHeight="1" x14ac:dyDescent="0.45">
      <c r="A32" s="1"/>
      <c r="B32" s="85" t="s">
        <v>178</v>
      </c>
      <c r="C32" s="86"/>
      <c r="D32" s="86"/>
      <c r="E32" s="86"/>
      <c r="F32" s="87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ht="14.2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2">
    <mergeCell ref="B32:F32"/>
    <mergeCell ref="B16:D16"/>
    <mergeCell ref="B17:D17"/>
    <mergeCell ref="B18:D18"/>
    <mergeCell ref="B19:D19"/>
    <mergeCell ref="B20:D20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1" t="s">
        <v>137</v>
      </c>
      <c r="C1" s="71"/>
      <c r="D1" s="71"/>
      <c r="E1" s="71"/>
      <c r="F1" s="71"/>
      <c r="G1" s="71"/>
      <c r="H1" s="71"/>
      <c r="I1" s="1"/>
    </row>
    <row r="2" spans="1:9" ht="15" customHeight="1" x14ac:dyDescent="0.45">
      <c r="A2" s="1"/>
      <c r="B2" s="71"/>
      <c r="C2" s="71"/>
      <c r="D2" s="71"/>
      <c r="E2" s="71"/>
      <c r="F2" s="71"/>
      <c r="G2" s="71"/>
      <c r="H2" s="71"/>
      <c r="I2" s="1"/>
    </row>
    <row r="3" spans="1:9" ht="15" customHeight="1" x14ac:dyDescent="0.45">
      <c r="A3" s="1"/>
      <c r="B3" s="71"/>
      <c r="C3" s="71"/>
      <c r="D3" s="71"/>
      <c r="E3" s="71"/>
      <c r="F3" s="71"/>
      <c r="G3" s="71"/>
      <c r="H3" s="71"/>
      <c r="I3" s="1"/>
    </row>
    <row r="4" spans="1:9" x14ac:dyDescent="0.45">
      <c r="A4" s="1"/>
      <c r="B4" s="94" t="s">
        <v>64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97" t="s">
        <v>53</v>
      </c>
      <c r="C5" s="98"/>
      <c r="D5" s="98"/>
      <c r="E5" s="98"/>
      <c r="F5" s="99"/>
      <c r="G5" s="24">
        <v>3031249</v>
      </c>
      <c r="H5" s="14" t="s">
        <v>3</v>
      </c>
      <c r="I5" s="1"/>
    </row>
    <row r="6" spans="1:9" x14ac:dyDescent="0.45">
      <c r="A6" s="1"/>
      <c r="B6" s="97" t="s">
        <v>54</v>
      </c>
      <c r="C6" s="98"/>
      <c r="D6" s="98"/>
      <c r="E6" s="98"/>
      <c r="F6" s="99"/>
      <c r="G6" s="24">
        <f>G5*'Fane 12. Nøgletal'!C31</f>
        <v>51531.233</v>
      </c>
      <c r="H6" s="14" t="s">
        <v>3</v>
      </c>
      <c r="I6" s="1"/>
    </row>
    <row r="7" spans="1:9" x14ac:dyDescent="0.4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65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97" t="s">
        <v>55</v>
      </c>
      <c r="C10" s="98"/>
      <c r="D10" s="98"/>
      <c r="E10" s="98"/>
      <c r="F10" s="99"/>
      <c r="G10" s="24">
        <f>(G5-G6)*(1+'Fane 12. Nøgletal'!C9)</f>
        <v>3017560.1826408999</v>
      </c>
      <c r="H10" s="14" t="s">
        <v>3</v>
      </c>
      <c r="I10" s="1"/>
    </row>
    <row r="11" spans="1:9" x14ac:dyDescent="0.45">
      <c r="A11" s="1"/>
      <c r="B11" s="100" t="s">
        <v>56</v>
      </c>
      <c r="C11" s="101"/>
      <c r="D11" s="101"/>
      <c r="E11" s="101"/>
      <c r="F11" s="102"/>
      <c r="G11" s="24">
        <v>0</v>
      </c>
      <c r="H11" s="14" t="s">
        <v>3</v>
      </c>
      <c r="I11" s="1"/>
    </row>
    <row r="12" spans="1:9" x14ac:dyDescent="0.45">
      <c r="A12" s="1"/>
      <c r="B12" s="97" t="s">
        <v>57</v>
      </c>
      <c r="C12" s="98"/>
      <c r="D12" s="98"/>
      <c r="E12" s="98"/>
      <c r="F12" s="99"/>
      <c r="G12" s="24">
        <f>(G10+G11)*'Fane 12. Nøgletal'!C31</f>
        <v>51298.523104895299</v>
      </c>
      <c r="H12" s="14" t="s">
        <v>3</v>
      </c>
      <c r="I12" s="1"/>
    </row>
    <row r="13" spans="1:9" x14ac:dyDescent="0.4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4" t="s">
        <v>66</v>
      </c>
      <c r="C15" s="95"/>
      <c r="D15" s="95"/>
      <c r="E15" s="95"/>
      <c r="F15" s="95"/>
      <c r="G15" s="95"/>
      <c r="H15" s="96"/>
      <c r="I15" s="1"/>
    </row>
    <row r="16" spans="1:9" x14ac:dyDescent="0.45">
      <c r="A16" s="1"/>
      <c r="B16" s="97" t="s">
        <v>58</v>
      </c>
      <c r="C16" s="98"/>
      <c r="D16" s="98"/>
      <c r="E16" s="98"/>
      <c r="F16" s="99"/>
      <c r="G16" s="24">
        <f>(G10-G12)*(1+'Fane 12. Nøgletal'!C9)</f>
        <v>3003933.1826121118</v>
      </c>
      <c r="H16" s="14" t="s">
        <v>3</v>
      </c>
      <c r="I16" s="1"/>
    </row>
    <row r="17" spans="1:9" x14ac:dyDescent="0.45">
      <c r="A17" s="1"/>
      <c r="B17" s="97" t="s">
        <v>147</v>
      </c>
      <c r="C17" s="98"/>
      <c r="D17" s="98"/>
      <c r="E17" s="98"/>
      <c r="F17" s="99"/>
      <c r="G17" s="24">
        <v>0</v>
      </c>
      <c r="H17" s="14" t="s">
        <v>3</v>
      </c>
      <c r="I17" s="1"/>
    </row>
    <row r="18" spans="1:9" x14ac:dyDescent="0.45">
      <c r="A18" s="1"/>
      <c r="B18" s="100" t="s">
        <v>59</v>
      </c>
      <c r="C18" s="101"/>
      <c r="D18" s="101"/>
      <c r="E18" s="101"/>
      <c r="F18" s="102"/>
      <c r="G18" s="24">
        <v>0</v>
      </c>
      <c r="H18" s="14" t="s">
        <v>3</v>
      </c>
      <c r="I18" s="1"/>
    </row>
    <row r="19" spans="1:9" x14ac:dyDescent="0.45">
      <c r="A19" s="1"/>
      <c r="B19" s="97" t="s">
        <v>60</v>
      </c>
      <c r="C19" s="98"/>
      <c r="D19" s="98"/>
      <c r="E19" s="98"/>
      <c r="F19" s="99"/>
      <c r="G19" s="24">
        <f>SUM(G16:G18)*'Fane 12. Nøgletal'!C31</f>
        <v>51066.864104405904</v>
      </c>
      <c r="H19" s="14" t="s">
        <v>3</v>
      </c>
      <c r="I19" s="1"/>
    </row>
    <row r="20" spans="1:9" x14ac:dyDescent="0.4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67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97" t="s">
        <v>61</v>
      </c>
      <c r="C23" s="98"/>
      <c r="D23" s="98"/>
      <c r="E23" s="98"/>
      <c r="F23" s="99"/>
      <c r="G23" s="24">
        <f>(SUM(G16:G18)-G19)*(1+'Fane 12. Nøgletal'!C9)</f>
        <v>2990367.7207527533</v>
      </c>
      <c r="H23" s="14" t="s">
        <v>3</v>
      </c>
      <c r="I23" s="1"/>
    </row>
    <row r="24" spans="1:9" x14ac:dyDescent="0.45">
      <c r="A24" s="1"/>
      <c r="B24" s="100" t="s">
        <v>62</v>
      </c>
      <c r="C24" s="101"/>
      <c r="D24" s="101"/>
      <c r="E24" s="101"/>
      <c r="F24" s="102"/>
      <c r="G24" s="24">
        <v>0</v>
      </c>
      <c r="H24" s="14" t="s">
        <v>3</v>
      </c>
      <c r="I24" s="1"/>
    </row>
    <row r="25" spans="1:9" x14ac:dyDescent="0.45">
      <c r="A25" s="1"/>
      <c r="B25" s="97" t="s">
        <v>63</v>
      </c>
      <c r="C25" s="98"/>
      <c r="D25" s="98"/>
      <c r="E25" s="98"/>
      <c r="F25" s="99"/>
      <c r="G25" s="24">
        <f>(G23+G24)*'Fane 12. Nøgletal'!C31</f>
        <v>50836.251252796807</v>
      </c>
      <c r="H25" s="14" t="s">
        <v>3</v>
      </c>
      <c r="I25" s="1"/>
    </row>
    <row r="26" spans="1:9" x14ac:dyDescent="0.4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220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97" t="s">
        <v>70</v>
      </c>
      <c r="C29" s="98"/>
      <c r="D29" s="98"/>
      <c r="E29" s="98"/>
      <c r="F29" s="99"/>
      <c r="G29" s="24">
        <f>(G23+G24-G25)*(1+'Fane 12. Nøgletal'!C13)+32.36/2</f>
        <v>2975409.9334278558</v>
      </c>
      <c r="H29" s="14" t="s">
        <v>3</v>
      </c>
      <c r="I29" s="1"/>
    </row>
    <row r="30" spans="1:9" x14ac:dyDescent="0.45">
      <c r="A30" s="1"/>
      <c r="B30" s="97" t="s">
        <v>186</v>
      </c>
      <c r="C30" s="98"/>
      <c r="D30" s="98"/>
      <c r="E30" s="98"/>
      <c r="F30" s="99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7" t="s">
        <v>198</v>
      </c>
      <c r="C31" s="98"/>
      <c r="D31" s="98"/>
      <c r="E31" s="98"/>
      <c r="F31" s="99"/>
      <c r="G31" s="24">
        <f>(G29+G30)*'Fane 12. Nøgletal'!C27</f>
        <v>59508.198668557117</v>
      </c>
      <c r="H31" s="14" t="s">
        <v>3</v>
      </c>
      <c r="I31" s="1"/>
    </row>
    <row r="32" spans="1:9" x14ac:dyDescent="0.4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221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97" t="s">
        <v>90</v>
      </c>
      <c r="C35" s="98"/>
      <c r="D35" s="98"/>
      <c r="E35" s="98"/>
      <c r="F35" s="99"/>
      <c r="G35" s="24">
        <f>(G29+G30-G31)*(1+'Fane 12. Nøgletal'!C13)</f>
        <v>2951475.735923362</v>
      </c>
      <c r="H35" s="14" t="s">
        <v>3</v>
      </c>
      <c r="I35" s="1"/>
    </row>
    <row r="36" spans="1:9" x14ac:dyDescent="0.45">
      <c r="A36" s="1"/>
      <c r="B36" s="97" t="s">
        <v>102</v>
      </c>
      <c r="C36" s="98"/>
      <c r="D36" s="98"/>
      <c r="E36" s="98"/>
      <c r="F36" s="99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7" t="s">
        <v>222</v>
      </c>
      <c r="C37" s="98"/>
      <c r="D37" s="98"/>
      <c r="E37" s="98"/>
      <c r="F37" s="99"/>
      <c r="G37" s="24">
        <f>(G35+G36)*'Fane 12. Nøgletal'!C27</f>
        <v>59029.514718467239</v>
      </c>
      <c r="H37" s="14" t="s">
        <v>3</v>
      </c>
      <c r="I37" s="1"/>
    </row>
    <row r="38" spans="1:9" x14ac:dyDescent="0.4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91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97" t="s">
        <v>89</v>
      </c>
      <c r="C41" s="98"/>
      <c r="D41" s="98"/>
      <c r="E41" s="98"/>
      <c r="F41" s="99"/>
      <c r="G41" s="24">
        <f>(G35+G36-G37)*(1+'Fane 12. Nøgletal'!C13)</f>
        <v>2927734.0651035942</v>
      </c>
      <c r="H41" s="14" t="s">
        <v>3</v>
      </c>
      <c r="I41" s="1"/>
    </row>
    <row r="42" spans="1:9" x14ac:dyDescent="0.45">
      <c r="A42" s="1"/>
      <c r="B42" s="97" t="s">
        <v>103</v>
      </c>
      <c r="C42" s="98"/>
      <c r="D42" s="98"/>
      <c r="E42" s="98"/>
      <c r="F42" s="99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7" t="s">
        <v>71</v>
      </c>
      <c r="C43" s="98"/>
      <c r="D43" s="98"/>
      <c r="E43" s="98"/>
      <c r="F43" s="99"/>
      <c r="G43" s="24">
        <f>(G41+G42)*'Fane 12. Nøgletal'!C27</f>
        <v>58554.681302071884</v>
      </c>
      <c r="H43" s="14" t="s">
        <v>3</v>
      </c>
      <c r="I43" s="1"/>
    </row>
    <row r="44" spans="1:9" x14ac:dyDescent="0.4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4" t="s">
        <v>187</v>
      </c>
      <c r="C46" s="95"/>
      <c r="D46" s="95"/>
      <c r="E46" s="95"/>
      <c r="F46" s="95"/>
      <c r="G46" s="95"/>
      <c r="H46" s="96"/>
      <c r="I46" s="1"/>
    </row>
    <row r="47" spans="1:9" x14ac:dyDescent="0.45">
      <c r="A47" s="1"/>
      <c r="B47" s="97" t="s">
        <v>188</v>
      </c>
      <c r="C47" s="98"/>
      <c r="D47" s="98"/>
      <c r="E47" s="98"/>
      <c r="F47" s="99"/>
      <c r="G47" s="24">
        <f>(G41+G42-G43)*(1+'Fane 12. Nøgletal'!C13)</f>
        <v>2904183.3722839006</v>
      </c>
      <c r="H47" s="14" t="s">
        <v>3</v>
      </c>
      <c r="I47" s="1"/>
    </row>
    <row r="48" spans="1:9" x14ac:dyDescent="0.45">
      <c r="A48" s="1"/>
      <c r="B48" s="97" t="s">
        <v>189</v>
      </c>
      <c r="C48" s="98"/>
      <c r="D48" s="98"/>
      <c r="E48" s="98"/>
      <c r="F48" s="99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7" t="s">
        <v>190</v>
      </c>
      <c r="C49" s="98"/>
      <c r="D49" s="98"/>
      <c r="E49" s="98"/>
      <c r="F49" s="99"/>
      <c r="G49" s="24">
        <f>(G47+G48)*'Fane 12. Nøgletal'!C27</f>
        <v>58083.667445678017</v>
      </c>
      <c r="H49" s="14" t="s">
        <v>3</v>
      </c>
      <c r="I49" s="1"/>
    </row>
    <row r="50" spans="1:9" x14ac:dyDescent="0.4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3" t="s">
        <v>138</v>
      </c>
      <c r="C2" s="103"/>
      <c r="D2" s="103"/>
      <c r="E2" s="103"/>
      <c r="F2" s="103"/>
      <c r="G2" s="103"/>
      <c r="H2" s="103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4" t="s">
        <v>68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97" t="s">
        <v>72</v>
      </c>
      <c r="C5" s="98"/>
      <c r="D5" s="98"/>
      <c r="E5" s="98"/>
      <c r="F5" s="99"/>
      <c r="G5" s="24">
        <v>3119972</v>
      </c>
      <c r="H5" s="14" t="s">
        <v>3</v>
      </c>
      <c r="I5" s="1"/>
    </row>
    <row r="6" spans="1:9" x14ac:dyDescent="0.45">
      <c r="A6" s="1"/>
      <c r="B6" s="97" t="s">
        <v>69</v>
      </c>
      <c r="C6" s="98"/>
      <c r="D6" s="98"/>
      <c r="E6" s="98"/>
      <c r="F6" s="99"/>
      <c r="G6" s="24">
        <f>G5*'Fane 12. Nøgletal'!C31</f>
        <v>53039.524000000005</v>
      </c>
      <c r="H6" s="14" t="s">
        <v>3</v>
      </c>
      <c r="I6" s="1"/>
    </row>
    <row r="7" spans="1:9" x14ac:dyDescent="0.4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73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97" t="s">
        <v>74</v>
      </c>
      <c r="C10" s="98"/>
      <c r="D10" s="98"/>
      <c r="E10" s="98"/>
      <c r="F10" s="99"/>
      <c r="G10" s="24">
        <f>(G5-G6)*(1+'Fane 12. Nøgletal'!C9)</f>
        <v>3105882.5184451994</v>
      </c>
      <c r="H10" s="14" t="s">
        <v>3</v>
      </c>
      <c r="I10" s="1"/>
    </row>
    <row r="11" spans="1:9" x14ac:dyDescent="0.45">
      <c r="A11" s="1"/>
      <c r="B11" s="100" t="s">
        <v>75</v>
      </c>
      <c r="C11" s="101"/>
      <c r="D11" s="101"/>
      <c r="E11" s="101"/>
      <c r="F11" s="102"/>
      <c r="G11" s="24">
        <v>0</v>
      </c>
      <c r="H11" s="14" t="s">
        <v>3</v>
      </c>
      <c r="I11" s="1"/>
    </row>
    <row r="12" spans="1:9" x14ac:dyDescent="0.45">
      <c r="A12" s="1"/>
      <c r="B12" s="97" t="s">
        <v>76</v>
      </c>
      <c r="C12" s="98"/>
      <c r="D12" s="98"/>
      <c r="E12" s="98"/>
      <c r="F12" s="99"/>
      <c r="G12" s="24">
        <f>SUM(G10:G11)*'Fane 12. Nøgletal'!C31</f>
        <v>52800.00281356839</v>
      </c>
      <c r="H12" s="14" t="s">
        <v>3</v>
      </c>
      <c r="I12" s="1"/>
    </row>
    <row r="13" spans="1:9" x14ac:dyDescent="0.4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4" t="s">
        <v>77</v>
      </c>
      <c r="C15" s="95"/>
      <c r="D15" s="95"/>
      <c r="E15" s="95"/>
      <c r="F15" s="95"/>
      <c r="G15" s="95"/>
      <c r="H15" s="96"/>
      <c r="I15" s="1"/>
    </row>
    <row r="16" spans="1:9" x14ac:dyDescent="0.45">
      <c r="A16" s="1"/>
      <c r="B16" s="97" t="s">
        <v>78</v>
      </c>
      <c r="C16" s="98"/>
      <c r="D16" s="98"/>
      <c r="E16" s="98"/>
      <c r="F16" s="99"/>
      <c r="G16" s="24">
        <f>(G10+G11-G12)*(1+'Fane 12. Nøgletal'!C9)</f>
        <v>3091856.6635801527</v>
      </c>
      <c r="H16" s="14" t="s">
        <v>3</v>
      </c>
      <c r="I16" s="1"/>
    </row>
    <row r="17" spans="1:9" x14ac:dyDescent="0.45">
      <c r="A17" s="1"/>
      <c r="B17" s="97" t="s">
        <v>148</v>
      </c>
      <c r="C17" s="98"/>
      <c r="D17" s="98"/>
      <c r="E17" s="98"/>
      <c r="F17" s="99"/>
      <c r="G17" s="24">
        <v>0</v>
      </c>
      <c r="H17" s="14" t="s">
        <v>3</v>
      </c>
      <c r="I17" s="1"/>
    </row>
    <row r="18" spans="1:9" x14ac:dyDescent="0.45">
      <c r="A18" s="1"/>
      <c r="B18" s="100" t="s">
        <v>79</v>
      </c>
      <c r="C18" s="101"/>
      <c r="D18" s="101"/>
      <c r="E18" s="101"/>
      <c r="F18" s="102"/>
      <c r="G18" s="24">
        <v>0</v>
      </c>
      <c r="H18" s="14" t="s">
        <v>3</v>
      </c>
      <c r="I18" s="1"/>
    </row>
    <row r="19" spans="1:9" x14ac:dyDescent="0.45">
      <c r="A19" s="1"/>
      <c r="B19" s="97" t="s">
        <v>80</v>
      </c>
      <c r="C19" s="98"/>
      <c r="D19" s="98"/>
      <c r="E19" s="98"/>
      <c r="F19" s="99"/>
      <c r="G19" s="24">
        <f>SUM(G16:G18)*'Fane 12. Nøgletal'!C31</f>
        <v>52561.563280862596</v>
      </c>
      <c r="H19" s="14" t="s">
        <v>3</v>
      </c>
      <c r="I19" s="1"/>
    </row>
    <row r="20" spans="1:9" x14ac:dyDescent="0.4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81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97" t="s">
        <v>82</v>
      </c>
      <c r="C23" s="98"/>
      <c r="D23" s="98"/>
      <c r="E23" s="98"/>
      <c r="F23" s="99"/>
      <c r="G23" s="24">
        <f>(SUM(G16:G18)-G19)*(1+'Fane 12. Nøgletal'!C9)</f>
        <v>3077894.1480730907</v>
      </c>
      <c r="H23" s="14" t="s">
        <v>3</v>
      </c>
      <c r="I23" s="1"/>
    </row>
    <row r="24" spans="1:9" x14ac:dyDescent="0.45">
      <c r="A24" s="1"/>
      <c r="B24" s="100" t="s">
        <v>83</v>
      </c>
      <c r="C24" s="101"/>
      <c r="D24" s="101"/>
      <c r="E24" s="101"/>
      <c r="F24" s="102"/>
      <c r="G24" s="24">
        <v>0</v>
      </c>
      <c r="H24" s="14" t="s">
        <v>3</v>
      </c>
      <c r="I24" s="1"/>
    </row>
    <row r="25" spans="1:9" x14ac:dyDescent="0.45">
      <c r="A25" s="1"/>
      <c r="B25" s="97" t="s">
        <v>84</v>
      </c>
      <c r="C25" s="98"/>
      <c r="D25" s="98"/>
      <c r="E25" s="98"/>
      <c r="F25" s="99"/>
      <c r="G25" s="24">
        <f>SUM(G23+G24)*'Fane 12. Nøgletal'!C31</f>
        <v>52324.200517242549</v>
      </c>
      <c r="H25" s="14" t="s">
        <v>3</v>
      </c>
      <c r="I25" s="1"/>
    </row>
    <row r="26" spans="1:9" x14ac:dyDescent="0.4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218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97" t="s">
        <v>85</v>
      </c>
      <c r="C29" s="98"/>
      <c r="D29" s="98"/>
      <c r="E29" s="98"/>
      <c r="F29" s="99"/>
      <c r="G29" s="24">
        <f>(G23+G24-G25)*(1+'Fane 12. Nøgletal'!C13)+32.36/2</f>
        <v>3062498.0809160294</v>
      </c>
      <c r="H29" s="14" t="s">
        <v>3</v>
      </c>
      <c r="I29" s="1"/>
    </row>
    <row r="30" spans="1:9" x14ac:dyDescent="0.45">
      <c r="A30" s="1"/>
      <c r="B30" s="97" t="s">
        <v>191</v>
      </c>
      <c r="C30" s="98"/>
      <c r="D30" s="98"/>
      <c r="E30" s="98"/>
      <c r="F30" s="99"/>
      <c r="G30" s="24">
        <f>SUM('Fane 2.1. Økonomisk ramme 2021'!C12,'Fane 2.1. Økonomisk ramme 2021'!C14,'Fane 2.1. Økonomisk ramme 2021'!C16)*(1+'Fane 12. Nøgletal'!C13)</f>
        <v>0</v>
      </c>
      <c r="H30" s="14" t="s">
        <v>3</v>
      </c>
      <c r="I30" s="1"/>
    </row>
    <row r="31" spans="1:9" x14ac:dyDescent="0.45">
      <c r="A31" s="1"/>
      <c r="B31" s="97" t="s">
        <v>219</v>
      </c>
      <c r="C31" s="98"/>
      <c r="D31" s="98"/>
      <c r="E31" s="98"/>
      <c r="F31" s="99"/>
      <c r="G31" s="24">
        <f>(G29+G30)*'Fane 12. Nøgletal'!C22</f>
        <v>84218.697225190816</v>
      </c>
      <c r="H31" s="14" t="s">
        <v>3</v>
      </c>
      <c r="I31" s="1"/>
    </row>
    <row r="32" spans="1:9" x14ac:dyDescent="0.4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223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97" t="s">
        <v>88</v>
      </c>
      <c r="C35" s="98"/>
      <c r="D35" s="98"/>
      <c r="E35" s="98"/>
      <c r="F35" s="99"/>
      <c r="G35" s="24">
        <f>(G29+G30-G31)*(1+'Fane 12. Nøgletal'!C13)</f>
        <v>3014614.3921718667</v>
      </c>
      <c r="H35" s="14" t="s">
        <v>3</v>
      </c>
      <c r="I35" s="1"/>
    </row>
    <row r="36" spans="1:9" x14ac:dyDescent="0.45">
      <c r="A36" s="1"/>
      <c r="B36" s="97" t="s">
        <v>107</v>
      </c>
      <c r="C36" s="98"/>
      <c r="D36" s="98"/>
      <c r="E36" s="98"/>
      <c r="F36" s="99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7" t="s">
        <v>224</v>
      </c>
      <c r="C37" s="98"/>
      <c r="D37" s="98"/>
      <c r="E37" s="98"/>
      <c r="F37" s="99"/>
      <c r="G37" s="24">
        <f>(G35+G36)*'Fane 12. Nøgletal'!C22</f>
        <v>82901.895784726337</v>
      </c>
      <c r="H37" s="14" t="s">
        <v>3</v>
      </c>
      <c r="I37" s="1"/>
    </row>
    <row r="38" spans="1:9" x14ac:dyDescent="0.4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92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97" t="s">
        <v>87</v>
      </c>
      <c r="C41" s="98"/>
      <c r="D41" s="98"/>
      <c r="E41" s="98"/>
      <c r="F41" s="99"/>
      <c r="G41" s="24">
        <f>(G35+G36-G37)*(1+'Fane 12. Nøgletal'!C13)</f>
        <v>2967479.3888430633</v>
      </c>
      <c r="H41" s="14" t="s">
        <v>3</v>
      </c>
      <c r="I41" s="1"/>
    </row>
    <row r="42" spans="1:9" x14ac:dyDescent="0.45">
      <c r="A42" s="1"/>
      <c r="B42" s="97" t="s">
        <v>108</v>
      </c>
      <c r="C42" s="98"/>
      <c r="D42" s="98"/>
      <c r="E42" s="98"/>
      <c r="F42" s="99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7" t="s">
        <v>86</v>
      </c>
      <c r="C43" s="98"/>
      <c r="D43" s="98"/>
      <c r="E43" s="98"/>
      <c r="F43" s="99"/>
      <c r="G43" s="24">
        <f>(G41+G42)*'Fane 12. Nøgletal'!C22</f>
        <v>81605.683193184246</v>
      </c>
      <c r="H43" s="14" t="s">
        <v>3</v>
      </c>
      <c r="I43" s="1"/>
    </row>
    <row r="44" spans="1:9" x14ac:dyDescent="0.4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4" t="s">
        <v>192</v>
      </c>
      <c r="C46" s="95"/>
      <c r="D46" s="95"/>
      <c r="E46" s="95"/>
      <c r="F46" s="95"/>
      <c r="G46" s="95"/>
      <c r="H46" s="96"/>
      <c r="I46" s="1"/>
    </row>
    <row r="47" spans="1:9" x14ac:dyDescent="0.45">
      <c r="A47" s="1"/>
      <c r="B47" s="97" t="s">
        <v>193</v>
      </c>
      <c r="C47" s="98"/>
      <c r="D47" s="98"/>
      <c r="E47" s="98"/>
      <c r="F47" s="99"/>
      <c r="G47" s="24">
        <f>(G41+G42-G43)*(1+'Fane 12. Nøgletal'!C13)</f>
        <v>2921081.3648588075</v>
      </c>
      <c r="H47" s="14" t="s">
        <v>3</v>
      </c>
      <c r="I47" s="1"/>
    </row>
    <row r="48" spans="1:9" x14ac:dyDescent="0.45">
      <c r="A48" s="1"/>
      <c r="B48" s="97" t="s">
        <v>194</v>
      </c>
      <c r="C48" s="98"/>
      <c r="D48" s="98"/>
      <c r="E48" s="98"/>
      <c r="F48" s="99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7" t="s">
        <v>195</v>
      </c>
      <c r="C49" s="98"/>
      <c r="D49" s="98"/>
      <c r="E49" s="98"/>
      <c r="F49" s="99"/>
      <c r="G49" s="24">
        <f>(G47+G48)*'Fane 12. Nøgletal'!C22</f>
        <v>80329.737533617212</v>
      </c>
      <c r="H49" s="14" t="s">
        <v>3</v>
      </c>
      <c r="I49" s="1"/>
    </row>
    <row r="50" spans="1:9" x14ac:dyDescent="0.4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1" t="s">
        <v>101</v>
      </c>
      <c r="C3" s="71"/>
      <c r="D3" s="71"/>
      <c r="E3" s="71"/>
      <c r="F3" s="71"/>
      <c r="G3" s="71"/>
      <c r="H3" s="71"/>
      <c r="I3" s="1"/>
    </row>
    <row r="4" spans="1:9" ht="15" customHeight="1" x14ac:dyDescent="0.4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9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97" t="s">
        <v>123</v>
      </c>
      <c r="C9" s="98"/>
      <c r="D9" s="98"/>
      <c r="E9" s="98"/>
      <c r="F9" s="99"/>
      <c r="G9" s="23" t="s">
        <v>238</v>
      </c>
      <c r="H9" s="14"/>
      <c r="I9" s="1"/>
    </row>
    <row r="10" spans="1:9" x14ac:dyDescent="0.45">
      <c r="A10" s="1"/>
      <c r="B10" s="97" t="s">
        <v>180</v>
      </c>
      <c r="C10" s="98"/>
      <c r="D10" s="98"/>
      <c r="E10" s="98"/>
      <c r="F10" s="99"/>
      <c r="G10" s="23">
        <v>0</v>
      </c>
      <c r="H10" s="14"/>
      <c r="I10" s="1"/>
    </row>
    <row r="11" spans="1:9" x14ac:dyDescent="0.45">
      <c r="A11" s="1"/>
      <c r="B11" s="43"/>
      <c r="C11" s="44"/>
      <c r="D11" s="44"/>
      <c r="E11" s="44"/>
      <c r="F11" s="44"/>
      <c r="G11" s="44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4" t="s">
        <v>225</v>
      </c>
      <c r="C13" s="104"/>
      <c r="D13" s="104"/>
      <c r="E13" s="104"/>
      <c r="F13" s="104"/>
      <c r="G13" s="104"/>
      <c r="H13" s="104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2020-10-20T05:59:33Z</dcterms:modified>
</cp:coreProperties>
</file>