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Vandcenter Djurs a.m.b.a. (V198)\ØR2024\"/>
    </mc:Choice>
  </mc:AlternateContent>
  <xr:revisionPtr revIDLastSave="0" documentId="13_ncr:1_{1D8B1DD8-65AC-4022-AB38-092CDD726523}" xr6:coauthVersionLast="36" xr6:coauthVersionMax="36" xr10:uidLastSave="{00000000-0000-0000-0000-000000000000}"/>
  <bookViews>
    <workbookView xWindow="3105" yWindow="990" windowWidth="1266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3"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29" i="2" l="1"/>
  <c r="E23" i="43" l="1"/>
  <c r="E31" i="43" s="1"/>
  <c r="E33" i="43" s="1"/>
  <c r="C17" i="15" l="1"/>
  <c r="C17" i="22"/>
  <c r="E27" i="43"/>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25" i="37" s="1"/>
  <c r="E26" i="37" s="1"/>
  <c r="C10" i="37"/>
  <c r="C25" i="37" s="1"/>
  <c r="C26"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<sst xmlns="http://schemas.openxmlformats.org/spreadsheetml/2006/main" count="577" uniqueCount="274">
  <si>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</si>
  <si>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</si>
  <si>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</si>
  <si>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</si>
  <si>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</si>
  <si>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</si>
  <si>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</si>
  <si>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</si>
  <si>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</si>
  <si>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</si>
  <si>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</si>
  <si>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</si>
  <si>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</si>
  <si>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</si>
  <si>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</si>
  <si>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</si>
  <si>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</si>
  <si>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</si>
  <si>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</si>
  <si>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</si>
  <si>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</si>
  <si>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</si>
  <si>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</si>
  <si>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</si>
  <si>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</si>
  <si>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</si>
  <si>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</si>
  <si>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</si>
  <si>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</si>
  <si>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</si>
  <si>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</si>
  <si>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</si>
  <si>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</si>
  <si>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</si>
  <si>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</si>
  <si>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</si>
  <si>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</si>
  <si>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</si>
  <si>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</si>
  <si>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</si>
  <si>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</si>
  <si>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</si>
  <si>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</si>
  <si>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</si>
  <si>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</si>
  <si>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</si>
  <si>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</si>
  <si>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</si>
  <si>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</si>
  <si>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</si>
  <si>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</si>
  <si>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</si>
  <si>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</si>
  <si>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</si>
  <si>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</si>
  <si>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</si>
  <si>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</si>
  <si>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</si>
  <si>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</si>
  <si>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</si>
  <si>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</si>
  <si>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</si>
  <si>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</si>
  <si>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</si>
  <si>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</si>
  <si>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</si>
  <si>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</si>
  <si>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</si>
  <si>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</si>
  <si>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</si>
  <si>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</si>
  <si>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</si>
  <si>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</si>
  <si>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</si>
  <si>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</si>
  <si>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</si>
  <si>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</si>
  <si>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</si>
  <si>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</si>
  <si>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</si>
  <si>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</si>
  <si>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</si>
  <si>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</si>
  <si>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</si>
  <si>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</si>
  <si>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</si>
  <si>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</si>
  <si>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</si>
  <si>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</si>
  <si>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</si>
  <si>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</si>
  <si>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</si>
  <si>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</si>
  <si>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</si>
  <si>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</si>
  <si>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</si>
  <si>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</si>
  <si>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</si>
  <si>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</si>
  <si>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</si>
  <si>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</si>
  <si>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</si>
  <si>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</si>
  <si>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</si>
  <si>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</si>
  <si>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</si>
  <si>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</si>
  <si>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</si>
  <si>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</si>
  <si>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</si>
  <si>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</si>
  <si>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</si>
  <si>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</si>
  <si>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</si>
  <si>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</si>
  <si>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</si>
  <si>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</si>
  <si>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</si>
  <si>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</si>
  <si>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</si>
  <si>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</si>
  <si>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</si>
  <si>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</si>
  <si>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</si>
  <si>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</si>
  <si>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</si>
  <si>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</si>
  <si>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</si>
  <si>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</si>
  <si>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</si>
  <si>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</si>
  <si>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</si>
  <si>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</si>
  <si>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</si>
  <si>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</si>
  <si>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</si>
  <si>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</si>
  <si>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</si>
  <si>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</si>
  <si>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</si>
  <si>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</si>
  <si>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</si>
  <si>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</si>
  <si>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</si>
  <si>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</si>
  <si>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</si>
  <si>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</si>
  <si>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</si>
  <si>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</si>
  <si>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</si>
  <si>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</si>
  <si>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</si>
  <si>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</si>
  <si>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</si>
  <si>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</si>
  <si>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</si>
  <si>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</si>
  <si>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</si>
  <si>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</si>
  <si>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</si>
  <si>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</si>
  <si>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</si>
  <si>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</si>
  <si>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</si>
  <si>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</si>
  <si>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</si>
  <si>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</si>
  <si>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</si>
  <si>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</si>
  <si>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</si>
  <si>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</si>
  <si>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</si>
  <si>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</si>
  <si>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</si>
  <si>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</si>
  <si>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</si>
  <si>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</si>
  <si>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</si>
  <si>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</si>
  <si>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</si>
  <si>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</si>
  <si>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</si>
  <si>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</si>
  <si>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</si>
  <si>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</si>
  <si>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</si>
  <si>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</si>
  <si>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</si>
  <si>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</si>
  <si>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</si>
  <si>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</si>
  <si>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</si>
  <si>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</si>
  <si>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</si>
  <si>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</si>
  <si>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</si>
  <si>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</si>
  <si>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</si>
  <si>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</si>
  <si>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</si>
  <si>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</si>
  <si>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</si>
  <si>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</si>
  <si>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</si>
  <si>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</si>
  <si>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</si>
  <si>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</si>
  <si>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</si>
  <si>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</si>
  <si>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</si>
  <si>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</si>
  <si>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</si>
  <si>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</si>
  <si>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</si>
  <si>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</si>
  <si>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</si>
  <si>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</si>
  <si>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</si>
  <si>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</si>
  <si>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</si>
  <si>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</si>
  <si>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</si>
  <si>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</si>
  <si>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</si>
  <si>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</si>
  <si>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</si>
  <si>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</si>
  <si>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</si>
  <si>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</si>
  <si>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</si>
  <si>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</si>
  <si>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</si>
  <si>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</si>
  <si>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</si>
  <si>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</si>
  <si>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</si>
  <si>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</si>
  <si>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</si>
  <si>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</si>
  <si>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</si>
  <si>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</si>
  <si>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</si>
  <si>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</si>
  <si>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</si>
  <si>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</si>
  <si>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</si>
  <si>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Pålagte aftaler om dyrkningsrestriktioner</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</si>
  <si>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</si>
  <si>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</si>
  <si>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</si>
  <si>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</si>
  <si>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</si>
  <si>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</si>
  <si>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</si>
  <si>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</si>
  <si>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</si>
  <si>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</si>
  <si>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</si>
  <si>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</si>
  <si>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</si>
  <si>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Etablering af  sektionsbrønd til nyt forsyningsområde, Thorsø, Voldby og Karlby</t>
  </si>
  <si>
    <t>Ny bil til ny medarbejder som følge af fusion med to mindre nabovandværker</t>
  </si>
  <si>
    <t>Nye stik</t>
  </si>
  <si>
    <t>Ingen engangstillæg</t>
  </si>
  <si>
    <t>Beluftningsanlæg Sostrup</t>
  </si>
  <si>
    <t>Elanlæg Sostrup</t>
  </si>
  <si>
    <t>Filter/beholderanlæg Sostrup</t>
  </si>
  <si>
    <t>Ombygning af lokalzone pumpeanlæg, Vejlby vandværk</t>
  </si>
  <si>
    <t>Skyllevandshåndtering, Sostrup</t>
  </si>
  <si>
    <t>Sostrup Bygning/etageareal</t>
  </si>
  <si>
    <t>SRO anlæg Sostrup</t>
  </si>
  <si>
    <t>Udbygning af Trykforøger i Hammelev</t>
  </si>
  <si>
    <t>Udpumpningsanlæg Sostrup</t>
  </si>
  <si>
    <t>UV-Filter Sostrup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</si>
</sst>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row r="1">
          <cell r="A1" t="str">
            <v>ØR 2024-2027 samt statusmeddelelser</v>
          </cell>
        </row>
      </sheetData>
      <sheetData sheetId="2">
        <row r="1">
          <cell r="A1" t="str">
            <v>ØR 2023-2026 samt statusmeddelelser</v>
          </cell>
        </row>
      </sheetData>
      <sheetData sheetId="3">
        <row r="3">
          <cell r="A3" t="str">
            <v>S016</v>
          </cell>
        </row>
      </sheetData>
      <sheetData sheetId="4">
        <row r="3">
          <cell r="A3" t="str">
            <v>S016</v>
          </cell>
        </row>
      </sheetData>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55" zoomScaleNormal="100" zoomScalePageLayoutView="5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2" t="s">
        <v>4</v>
      </c>
      <c r="E6" s="82"/>
      <c r="F6" s="82"/>
      <c r="G6" s="82"/>
      <c r="H6" s="3"/>
      <c r="I6" s="1"/>
    </row>
    <row r="7" spans="1:9" ht="15" customHeight="1" x14ac:dyDescent="0.25">
      <c r="A7" s="1"/>
      <c r="B7" s="1"/>
      <c r="C7" s="3"/>
      <c r="D7" s="82"/>
      <c r="E7" s="82"/>
      <c r="F7" s="82"/>
      <c r="G7" s="82"/>
      <c r="H7" s="3"/>
      <c r="I7" s="1"/>
    </row>
    <row r="8" spans="1:9" ht="15.75" x14ac:dyDescent="0.25">
      <c r="A8" s="1"/>
      <c r="B8" s="1"/>
      <c r="C8" s="4"/>
      <c r="D8" s="87" t="s">
        <v>235</v>
      </c>
      <c r="E8" s="87"/>
      <c r="F8" s="87"/>
      <c r="G8" s="87"/>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6" t="s">
        <v>5</v>
      </c>
      <c r="E11" s="86"/>
      <c r="F11" s="86"/>
      <c r="G11" s="86"/>
      <c r="H11" s="5"/>
      <c r="I11" s="1"/>
    </row>
    <row r="12" spans="1:9" x14ac:dyDescent="0.25">
      <c r="A12" s="1"/>
      <c r="B12" s="1"/>
      <c r="C12" s="1"/>
      <c r="D12" s="1"/>
      <c r="E12" s="1"/>
      <c r="F12" s="1"/>
      <c r="G12" s="1"/>
      <c r="H12" s="1"/>
      <c r="I12" s="1"/>
    </row>
    <row r="13" spans="1:9" x14ac:dyDescent="0.25">
      <c r="A13" s="1"/>
      <c r="B13" s="1"/>
      <c r="C13" s="6" t="s">
        <v>6</v>
      </c>
      <c r="D13" s="79" t="s">
        <v>162</v>
      </c>
      <c r="E13" s="80"/>
      <c r="F13" s="80"/>
      <c r="G13" s="81"/>
      <c r="H13" s="1"/>
      <c r="I13" s="1"/>
    </row>
    <row r="14" spans="1:9" x14ac:dyDescent="0.25">
      <c r="A14" s="1"/>
      <c r="B14" s="1"/>
      <c r="C14" s="6" t="s">
        <v>14</v>
      </c>
      <c r="D14" s="79" t="s">
        <v>197</v>
      </c>
      <c r="E14" s="80"/>
      <c r="F14" s="80"/>
      <c r="G14" s="81"/>
      <c r="H14" s="1"/>
      <c r="I14" s="1"/>
    </row>
    <row r="15" spans="1:9" x14ac:dyDescent="0.25">
      <c r="A15" s="1"/>
      <c r="B15" s="1"/>
      <c r="C15" s="6" t="s">
        <v>30</v>
      </c>
      <c r="D15" s="79" t="s">
        <v>141</v>
      </c>
      <c r="E15" s="80"/>
      <c r="F15" s="80"/>
      <c r="G15" s="81"/>
      <c r="H15" s="1"/>
      <c r="I15" s="1"/>
    </row>
    <row r="16" spans="1:9" x14ac:dyDescent="0.25">
      <c r="A16" s="1"/>
      <c r="B16" s="1"/>
      <c r="C16" s="6" t="s">
        <v>31</v>
      </c>
      <c r="D16" s="79" t="s">
        <v>194</v>
      </c>
      <c r="E16" s="80"/>
      <c r="F16" s="80"/>
      <c r="G16" s="81"/>
      <c r="H16" s="1"/>
      <c r="I16" s="1"/>
    </row>
    <row r="17" spans="1:9" x14ac:dyDescent="0.25">
      <c r="A17" s="1"/>
      <c r="B17" s="1"/>
      <c r="C17" s="6" t="s">
        <v>102</v>
      </c>
      <c r="D17" s="79" t="s">
        <v>195</v>
      </c>
      <c r="E17" s="80"/>
      <c r="F17" s="80"/>
      <c r="G17" s="81"/>
      <c r="H17" s="1"/>
      <c r="I17" s="1"/>
    </row>
    <row r="18" spans="1:9" x14ac:dyDescent="0.25">
      <c r="A18" s="1"/>
      <c r="B18" s="1"/>
      <c r="C18" s="6" t="s">
        <v>86</v>
      </c>
      <c r="D18" s="88" t="s">
        <v>79</v>
      </c>
      <c r="E18" s="89"/>
      <c r="F18" s="89"/>
      <c r="G18" s="90"/>
      <c r="H18" s="1"/>
      <c r="I18" s="1"/>
    </row>
    <row r="19" spans="1:9" x14ac:dyDescent="0.25">
      <c r="A19" s="1"/>
      <c r="B19" s="1"/>
      <c r="C19" s="6" t="s">
        <v>87</v>
      </c>
      <c r="D19" s="88" t="s">
        <v>80</v>
      </c>
      <c r="E19" s="89"/>
      <c r="F19" s="89"/>
      <c r="G19" s="90"/>
      <c r="H19" s="1"/>
      <c r="I19" s="1"/>
    </row>
    <row r="20" spans="1:9" x14ac:dyDescent="0.25">
      <c r="A20" s="1"/>
      <c r="B20" s="1"/>
      <c r="C20" s="6" t="s">
        <v>7</v>
      </c>
      <c r="D20" s="88" t="s">
        <v>9</v>
      </c>
      <c r="E20" s="89"/>
      <c r="F20" s="89"/>
      <c r="G20" s="90"/>
      <c r="H20" s="1"/>
      <c r="I20" s="1"/>
    </row>
    <row r="21" spans="1:9" x14ac:dyDescent="0.25">
      <c r="A21" s="1"/>
      <c r="B21" s="1"/>
      <c r="C21" s="6" t="s">
        <v>88</v>
      </c>
      <c r="D21" s="94" t="s">
        <v>11</v>
      </c>
      <c r="E21" s="95"/>
      <c r="F21" s="95"/>
      <c r="G21" s="96"/>
      <c r="H21" s="1"/>
      <c r="I21" s="1"/>
    </row>
    <row r="22" spans="1:9" x14ac:dyDescent="0.25">
      <c r="A22" s="1"/>
      <c r="B22" s="1"/>
      <c r="C22" s="6" t="s">
        <v>73</v>
      </c>
      <c r="D22" s="83" t="s">
        <v>196</v>
      </c>
      <c r="E22" s="84"/>
      <c r="F22" s="84"/>
      <c r="G22" s="85"/>
      <c r="H22" s="1"/>
      <c r="I22" s="1"/>
    </row>
    <row r="23" spans="1:9" x14ac:dyDescent="0.25">
      <c r="A23" s="1"/>
      <c r="B23" s="1"/>
      <c r="C23" s="6" t="s">
        <v>8</v>
      </c>
      <c r="D23" s="83" t="s">
        <v>176</v>
      </c>
      <c r="E23" s="84"/>
      <c r="F23" s="84"/>
      <c r="G23" s="85"/>
      <c r="H23" s="1"/>
      <c r="I23" s="1"/>
    </row>
    <row r="24" spans="1:9" x14ac:dyDescent="0.25">
      <c r="A24" s="1"/>
      <c r="B24" s="1"/>
      <c r="C24" s="6" t="s">
        <v>172</v>
      </c>
      <c r="D24" s="83" t="s">
        <v>163</v>
      </c>
      <c r="E24" s="84"/>
      <c r="F24" s="84"/>
      <c r="G24" s="85"/>
      <c r="H24" s="1"/>
      <c r="I24" s="1"/>
    </row>
    <row r="25" spans="1:9" x14ac:dyDescent="0.25">
      <c r="A25" s="1"/>
      <c r="B25" s="1"/>
      <c r="C25" s="6" t="s">
        <v>173</v>
      </c>
      <c r="D25" s="83" t="s">
        <v>74</v>
      </c>
      <c r="E25" s="84"/>
      <c r="F25" s="84"/>
      <c r="G25" s="85"/>
      <c r="H25" s="1"/>
      <c r="I25" s="1"/>
    </row>
    <row r="26" spans="1:9" x14ac:dyDescent="0.25">
      <c r="A26" s="1"/>
      <c r="B26" s="1"/>
      <c r="C26" s="6" t="s">
        <v>174</v>
      </c>
      <c r="D26" s="83" t="s">
        <v>75</v>
      </c>
      <c r="E26" s="84"/>
      <c r="F26" s="84"/>
      <c r="G26" s="85"/>
      <c r="H26" s="1"/>
      <c r="I26" s="1"/>
    </row>
    <row r="27" spans="1:9" x14ac:dyDescent="0.25">
      <c r="A27" s="1"/>
      <c r="B27" s="1"/>
      <c r="C27" s="6" t="s">
        <v>89</v>
      </c>
      <c r="D27" s="83" t="s">
        <v>103</v>
      </c>
      <c r="E27" s="84"/>
      <c r="F27" s="84"/>
      <c r="G27" s="85"/>
      <c r="H27" s="1"/>
      <c r="I27" s="1"/>
    </row>
    <row r="28" spans="1:9" x14ac:dyDescent="0.25">
      <c r="A28" s="1"/>
      <c r="B28" s="1"/>
      <c r="C28" s="6" t="s">
        <v>83</v>
      </c>
      <c r="D28" s="83" t="s">
        <v>32</v>
      </c>
      <c r="E28" s="84"/>
      <c r="F28" s="84"/>
      <c r="G28" s="85"/>
      <c r="H28" s="1"/>
      <c r="I28" s="1"/>
    </row>
    <row r="29" spans="1:9" x14ac:dyDescent="0.25">
      <c r="A29" s="1"/>
      <c r="B29" s="1"/>
      <c r="C29" s="6" t="s">
        <v>175</v>
      </c>
      <c r="D29" s="91" t="s">
        <v>84</v>
      </c>
      <c r="E29" s="92"/>
      <c r="F29" s="92"/>
      <c r="G29" s="93"/>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JZbjNU/hBH9/ehBDIIZI10NNdl9+hLAHsvk8x6Oi36J1MgiWAjbAXlVpC4gSGuoRyi/qCfXgFV2Zo5n2svTdmA==" saltValue="PeWpQeifhMnYIgD0WbviPg=="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85" zoomScaleNormal="100" zoomScalePageLayoutView="85"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7" t="s">
        <v>92</v>
      </c>
      <c r="C3" s="97"/>
      <c r="D3" s="97"/>
      <c r="E3" s="1"/>
      <c r="F3" s="1"/>
    </row>
    <row r="4" spans="1:6" ht="15" customHeight="1" x14ac:dyDescent="0.25">
      <c r="A4" s="1"/>
      <c r="B4" s="97"/>
      <c r="C4" s="97"/>
      <c r="D4" s="9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7" t="s">
        <v>226</v>
      </c>
      <c r="C8" s="108"/>
      <c r="D8" s="109"/>
      <c r="E8" s="1"/>
      <c r="F8" s="1"/>
    </row>
    <row r="9" spans="1:6" ht="15" customHeight="1" x14ac:dyDescent="0.25">
      <c r="A9" s="1"/>
      <c r="B9" s="32" t="s">
        <v>28</v>
      </c>
      <c r="C9" s="11" t="s">
        <v>212</v>
      </c>
      <c r="D9" s="11"/>
      <c r="E9" s="1"/>
      <c r="F9" s="1"/>
    </row>
    <row r="10" spans="1:6" ht="15" customHeight="1" x14ac:dyDescent="0.25">
      <c r="A10" s="1"/>
      <c r="B10" s="71" t="s">
        <v>243</v>
      </c>
      <c r="C10" s="9">
        <v>9855000</v>
      </c>
      <c r="D10" s="14" t="s">
        <v>3</v>
      </c>
      <c r="E10" s="1"/>
      <c r="F10" s="1"/>
    </row>
    <row r="11" spans="1:6" x14ac:dyDescent="0.25">
      <c r="A11" s="1"/>
      <c r="B11" s="71" t="s">
        <v>244</v>
      </c>
      <c r="C11" s="9">
        <v>86412</v>
      </c>
      <c r="D11" s="14" t="s">
        <v>3</v>
      </c>
      <c r="E11" s="1"/>
      <c r="F11" s="1"/>
    </row>
    <row r="12" spans="1:6" x14ac:dyDescent="0.25">
      <c r="A12" s="1"/>
      <c r="B12" s="71" t="s">
        <v>245</v>
      </c>
      <c r="C12" s="9">
        <v>30908</v>
      </c>
      <c r="D12" s="14" t="s">
        <v>3</v>
      </c>
      <c r="E12" s="1"/>
      <c r="F12" s="1"/>
    </row>
    <row r="13" spans="1:6" x14ac:dyDescent="0.25">
      <c r="A13" s="1"/>
      <c r="B13" s="71" t="s">
        <v>246</v>
      </c>
      <c r="C13" s="9">
        <v>517003</v>
      </c>
      <c r="D13" s="14" t="s">
        <v>3</v>
      </c>
      <c r="E13" s="1"/>
      <c r="F13" s="1"/>
    </row>
    <row r="14" spans="1:6" x14ac:dyDescent="0.25">
      <c r="A14" s="1"/>
      <c r="B14" s="71"/>
      <c r="C14" s="9"/>
      <c r="D14" s="14" t="s">
        <v>3</v>
      </c>
      <c r="E14" s="1"/>
      <c r="F14" s="1"/>
    </row>
    <row r="15" spans="1:6" x14ac:dyDescent="0.25">
      <c r="A15" s="1"/>
      <c r="B15" s="71"/>
      <c r="C15" s="9"/>
      <c r="D15" s="14" t="s">
        <v>3</v>
      </c>
      <c r="E15" s="1"/>
      <c r="F15" s="1"/>
    </row>
    <row r="16" spans="1:6" x14ac:dyDescent="0.25">
      <c r="A16" s="1"/>
      <c r="B16" s="71"/>
      <c r="C16" s="9"/>
      <c r="D16" s="14" t="s">
        <v>3</v>
      </c>
      <c r="E16" s="1"/>
      <c r="F16" s="1"/>
    </row>
    <row r="17" spans="1:6" x14ac:dyDescent="0.25">
      <c r="A17" s="1"/>
      <c r="B17" s="71"/>
      <c r="C17" s="9"/>
      <c r="D17" s="14" t="s">
        <v>3</v>
      </c>
      <c r="E17" s="1"/>
      <c r="F17" s="1"/>
    </row>
    <row r="18" spans="1:6" x14ac:dyDescent="0.25">
      <c r="A18" s="1"/>
      <c r="B18" s="71"/>
      <c r="C18" s="9"/>
      <c r="D18" s="14" t="s">
        <v>3</v>
      </c>
      <c r="E18" s="1"/>
      <c r="F18" s="1"/>
    </row>
    <row r="19" spans="1:6" x14ac:dyDescent="0.25">
      <c r="A19" s="1"/>
      <c r="B19" s="52" t="s">
        <v>213</v>
      </c>
      <c r="C19" s="12">
        <f>SUM(C10:C18)</f>
        <v>10489323</v>
      </c>
      <c r="D19" s="13" t="s">
        <v>3</v>
      </c>
      <c r="E19" s="1"/>
      <c r="F19" s="1"/>
    </row>
    <row r="20" spans="1:6" x14ac:dyDescent="0.25">
      <c r="A20" s="1"/>
      <c r="B20" s="52" t="s">
        <v>214</v>
      </c>
      <c r="C20" s="12">
        <f>C19*(1+'Fane 13. Nøgletal'!C16)^2</f>
        <v>12252878.61051072</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P9k8XfZYTcZ3H1JErfeG1bBH+lhRrqlAVhv8ZyJ1EPAozotM0lJlcbieH6jiU1xa4t5jeEU/oQC/AqxeFWuGSw==" saltValue="ewOrsHBokACJK606BiTxE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E83C0-565C-49E9-9F0B-E6A76C99555E}">
  <dimension ref="A1:G45"/>
  <sheetViews>
    <sheetView showGridLines="0" view="pageLayout" zoomScale="85" zoomScaleNormal="100" zoomScalePageLayoutView="85"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0" t="s">
        <v>227</v>
      </c>
      <c r="C3" s="100"/>
      <c r="D3" s="100"/>
      <c r="E3" s="100"/>
      <c r="F3" s="100"/>
      <c r="G3" s="1"/>
    </row>
    <row r="4" spans="1:7" ht="15" customHeight="1" x14ac:dyDescent="0.25">
      <c r="A4" s="1"/>
      <c r="B4" s="100"/>
      <c r="C4" s="100"/>
      <c r="D4" s="100"/>
      <c r="E4" s="100"/>
      <c r="F4" s="100"/>
      <c r="G4" s="1"/>
    </row>
    <row r="5" spans="1:7" ht="15" customHeight="1" x14ac:dyDescent="0.25">
      <c r="A5" s="1"/>
      <c r="B5" s="64"/>
      <c r="C5" s="64"/>
      <c r="D5" s="64"/>
      <c r="E5" s="64"/>
      <c r="F5" s="64"/>
      <c r="G5" s="1"/>
    </row>
    <row r="6" spans="1:7" ht="15" customHeight="1" x14ac:dyDescent="0.25">
      <c r="A6" s="1"/>
      <c r="B6" s="1"/>
      <c r="C6" s="59"/>
      <c r="D6" s="60"/>
      <c r="E6" s="64"/>
      <c r="F6" s="64"/>
      <c r="G6" s="1"/>
    </row>
    <row r="7" spans="1:7" x14ac:dyDescent="0.25">
      <c r="A7" s="1"/>
      <c r="B7" s="1"/>
      <c r="C7" s="1"/>
      <c r="D7" s="1"/>
      <c r="E7" s="61"/>
      <c r="F7" s="1"/>
      <c r="G7" s="1"/>
    </row>
    <row r="8" spans="1:7" x14ac:dyDescent="0.25">
      <c r="A8" s="1"/>
      <c r="B8" s="107" t="s">
        <v>247</v>
      </c>
      <c r="C8" s="108"/>
      <c r="D8" s="108"/>
      <c r="E8" s="108"/>
      <c r="F8" s="109"/>
      <c r="G8" s="1"/>
    </row>
    <row r="9" spans="1:7" x14ac:dyDescent="0.25">
      <c r="A9" s="1"/>
      <c r="B9" s="101" t="s">
        <v>248</v>
      </c>
      <c r="C9" s="102"/>
      <c r="D9" s="103"/>
      <c r="E9" s="28">
        <v>-1998948</v>
      </c>
      <c r="F9" s="14" t="s">
        <v>3</v>
      </c>
      <c r="G9" s="1"/>
    </row>
    <row r="10" spans="1:7" x14ac:dyDescent="0.25">
      <c r="A10" s="1"/>
      <c r="B10" s="52"/>
      <c r="C10" s="53"/>
      <c r="D10" s="53"/>
      <c r="E10" s="53"/>
      <c r="F10" s="19"/>
      <c r="G10" s="1"/>
    </row>
    <row r="11" spans="1:7" ht="53.25" customHeight="1" x14ac:dyDescent="0.25">
      <c r="A11" s="1"/>
      <c r="B11" s="126" t="s">
        <v>249</v>
      </c>
      <c r="C11" s="127"/>
      <c r="D11" s="127"/>
      <c r="E11" s="127"/>
      <c r="F11" s="128"/>
      <c r="G11" s="1"/>
    </row>
    <row r="12" spans="1:7" x14ac:dyDescent="0.25">
      <c r="A12" s="1"/>
      <c r="B12" s="1"/>
      <c r="C12" s="1"/>
      <c r="D12" s="1"/>
      <c r="E12" s="1"/>
      <c r="F12" s="1"/>
      <c r="G12" s="1"/>
    </row>
    <row r="13" spans="1:7" x14ac:dyDescent="0.25">
      <c r="A13" s="1"/>
      <c r="B13" s="107" t="s">
        <v>140</v>
      </c>
      <c r="C13" s="108"/>
      <c r="D13" s="108"/>
      <c r="E13" s="108"/>
      <c r="F13" s="109"/>
      <c r="G13" s="1"/>
    </row>
    <row r="14" spans="1:7" x14ac:dyDescent="0.25">
      <c r="A14" s="1"/>
      <c r="B14" s="101" t="s">
        <v>250</v>
      </c>
      <c r="C14" s="102"/>
      <c r="D14" s="103"/>
      <c r="E14" s="9">
        <v>0</v>
      </c>
      <c r="F14" s="14" t="s">
        <v>3</v>
      </c>
      <c r="G14" s="1"/>
    </row>
    <row r="15" spans="1:7" x14ac:dyDescent="0.25">
      <c r="A15" s="1"/>
      <c r="B15" s="101" t="s">
        <v>251</v>
      </c>
      <c r="C15" s="102"/>
      <c r="D15" s="103"/>
      <c r="E15" s="9">
        <v>0</v>
      </c>
      <c r="F15" s="14" t="s">
        <v>3</v>
      </c>
      <c r="G15" s="1"/>
    </row>
    <row r="16" spans="1:7" x14ac:dyDescent="0.25">
      <c r="A16" s="1"/>
      <c r="B16" s="52"/>
      <c r="C16" s="53"/>
      <c r="D16" s="53"/>
      <c r="E16" s="53"/>
      <c r="F16" s="19"/>
      <c r="G16" s="1"/>
    </row>
    <row r="17" spans="1:7" ht="32.25" customHeight="1" x14ac:dyDescent="0.25">
      <c r="A17" s="1"/>
      <c r="B17" s="126" t="s">
        <v>252</v>
      </c>
      <c r="C17" s="127"/>
      <c r="D17" s="127"/>
      <c r="E17" s="127"/>
      <c r="F17" s="128"/>
      <c r="G17" s="1"/>
    </row>
    <row r="18" spans="1:7" x14ac:dyDescent="0.25">
      <c r="A18" s="1"/>
      <c r="B18" s="1"/>
      <c r="C18" s="1"/>
      <c r="D18" s="1"/>
      <c r="E18" s="1"/>
      <c r="F18" s="1"/>
      <c r="G18" s="1"/>
    </row>
    <row r="19" spans="1:7" x14ac:dyDescent="0.25">
      <c r="A19" s="1"/>
      <c r="B19" s="65" t="s">
        <v>253</v>
      </c>
      <c r="C19" s="66"/>
      <c r="D19" s="66"/>
      <c r="E19" s="66"/>
      <c r="F19" s="67"/>
      <c r="G19" s="1"/>
    </row>
    <row r="20" spans="1:7" x14ac:dyDescent="0.25">
      <c r="A20" s="1"/>
      <c r="B20" s="68" t="s">
        <v>254</v>
      </c>
      <c r="C20" s="69"/>
      <c r="D20" s="70"/>
      <c r="E20" s="9">
        <v>24533031</v>
      </c>
      <c r="F20" s="14" t="s">
        <v>3</v>
      </c>
      <c r="G20" s="1"/>
    </row>
    <row r="21" spans="1:7" x14ac:dyDescent="0.25">
      <c r="A21" s="1"/>
      <c r="B21" s="68" t="s">
        <v>255</v>
      </c>
      <c r="C21" s="69"/>
      <c r="D21" s="70"/>
      <c r="E21" s="9">
        <v>26040000</v>
      </c>
      <c r="F21" s="14" t="s">
        <v>3</v>
      </c>
      <c r="G21" s="1"/>
    </row>
    <row r="22" spans="1:7" x14ac:dyDescent="0.25">
      <c r="A22" s="1"/>
      <c r="B22" s="68" t="s">
        <v>29</v>
      </c>
      <c r="C22" s="69"/>
      <c r="D22" s="70"/>
      <c r="E22" s="9">
        <v>0</v>
      </c>
      <c r="F22" s="14" t="s">
        <v>3</v>
      </c>
      <c r="G22" s="1"/>
    </row>
    <row r="23" spans="1:7" x14ac:dyDescent="0.25">
      <c r="A23" s="1"/>
      <c r="B23" s="73" t="s">
        <v>256</v>
      </c>
      <c r="C23" s="74"/>
      <c r="D23" s="75"/>
      <c r="E23" s="10">
        <f>E20-(E21-E22)</f>
        <v>-1506969</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107" t="s">
        <v>257</v>
      </c>
      <c r="C26" s="108"/>
      <c r="D26" s="108"/>
      <c r="E26" s="108"/>
      <c r="F26" s="109"/>
      <c r="G26" s="1"/>
    </row>
    <row r="27" spans="1:7" x14ac:dyDescent="0.25">
      <c r="A27" s="1"/>
      <c r="B27" s="129" t="s">
        <v>258</v>
      </c>
      <c r="C27" s="130"/>
      <c r="D27" s="131"/>
      <c r="E27" s="62">
        <f>IF(AND(E15&lt;0,E23&gt;0,ABS(SUM(E14:E15))&lt;E23),ABS(E14),IF(AND(E15&lt;0,E23&gt;0,ABS(SUM(E14:E15))&gt;E23),SUM(E14,E23),0))</f>
        <v>0</v>
      </c>
      <c r="F27" s="17" t="s">
        <v>3</v>
      </c>
      <c r="G27" s="1"/>
    </row>
    <row r="28" spans="1:7" x14ac:dyDescent="0.25">
      <c r="A28" s="1"/>
      <c r="B28" s="107"/>
      <c r="C28" s="108"/>
      <c r="D28" s="108"/>
      <c r="E28" s="108"/>
      <c r="F28" s="109"/>
      <c r="G28" s="1"/>
    </row>
    <row r="29" spans="1:7" x14ac:dyDescent="0.25">
      <c r="A29" s="1"/>
      <c r="B29" s="1"/>
      <c r="C29" s="1"/>
      <c r="D29" s="1"/>
      <c r="E29" s="1"/>
      <c r="F29" s="1"/>
      <c r="G29" s="1"/>
    </row>
    <row r="30" spans="1:7" x14ac:dyDescent="0.25">
      <c r="A30" s="1"/>
      <c r="B30" s="107" t="s">
        <v>259</v>
      </c>
      <c r="C30" s="108"/>
      <c r="D30" s="108"/>
      <c r="E30" s="108"/>
      <c r="F30" s="109"/>
      <c r="G30" s="1"/>
    </row>
    <row r="31" spans="1:7" x14ac:dyDescent="0.25">
      <c r="A31" s="1"/>
      <c r="B31" s="119" t="s">
        <v>117</v>
      </c>
      <c r="C31" s="120"/>
      <c r="D31" s="121"/>
      <c r="E31" s="63">
        <f>IF(AND(E9&gt;0,(E9+E23)&gt;0),0,IF(AND(E9&gt;0,(E9+E23)&lt;0),(E9+E23),IF(AND(E9&lt;0,E23&lt;0),E23,0)))</f>
        <v>-1506969</v>
      </c>
      <c r="F31" s="14" t="s">
        <v>3</v>
      </c>
      <c r="G31" s="1"/>
    </row>
    <row r="32" spans="1:7" x14ac:dyDescent="0.25">
      <c r="A32" s="1"/>
      <c r="B32" s="119" t="s">
        <v>85</v>
      </c>
      <c r="C32" s="120"/>
      <c r="D32" s="121"/>
      <c r="E32" s="9">
        <v>2</v>
      </c>
      <c r="F32" s="14" t="s">
        <v>18</v>
      </c>
      <c r="G32" s="1"/>
    </row>
    <row r="33" spans="1:7" x14ac:dyDescent="0.25">
      <c r="A33" s="1"/>
      <c r="B33" s="122" t="s">
        <v>116</v>
      </c>
      <c r="C33" s="122"/>
      <c r="D33" s="122"/>
      <c r="E33" s="62">
        <f>E31/E32</f>
        <v>-753484.5</v>
      </c>
      <c r="F33" s="17" t="s">
        <v>3</v>
      </c>
      <c r="G33" s="1"/>
    </row>
    <row r="34" spans="1:7" x14ac:dyDescent="0.25">
      <c r="A34" s="1"/>
      <c r="B34" s="123"/>
      <c r="C34" s="124"/>
      <c r="D34" s="124"/>
      <c r="E34" s="124"/>
      <c r="F34" s="12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reK2MPS6MvhcmxKxrgBpKO8XiNRnvfbHh9e8OxIqxSp3GnZBoM82gTR0mNXD5ylGvuFRaIiDTMoU9/+bxy2/ow==" saltValue="+HZAvFqtsPe3dFJX0qj46A==" spinCount="100000" sheet="1" objects="1" scenarios="1"/>
  <mergeCells count="16">
    <mergeCell ref="B14:D14"/>
    <mergeCell ref="B3:F4"/>
    <mergeCell ref="B8:F8"/>
    <mergeCell ref="B9:D9"/>
    <mergeCell ref="B11:F11"/>
    <mergeCell ref="B13:F13"/>
    <mergeCell ref="B31:D31"/>
    <mergeCell ref="B32:D32"/>
    <mergeCell ref="B33:D33"/>
    <mergeCell ref="B34:F34"/>
    <mergeCell ref="B15:D15"/>
    <mergeCell ref="B17:F17"/>
    <mergeCell ref="B26:F26"/>
    <mergeCell ref="B27:D27"/>
    <mergeCell ref="B28:F28"/>
    <mergeCell ref="B30:F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85" zoomScaleNormal="100" zoomScalePageLayoutView="85"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7" t="s">
        <v>183</v>
      </c>
      <c r="C3" s="97"/>
      <c r="D3" s="97"/>
      <c r="E3" s="97"/>
      <c r="F3" s="97"/>
      <c r="G3" s="97"/>
      <c r="H3" s="97"/>
      <c r="I3" s="1"/>
    </row>
    <row r="4" spans="1:9" ht="15" customHeight="1" x14ac:dyDescent="0.25">
      <c r="A4" s="1"/>
      <c r="B4" s="97"/>
      <c r="C4" s="97"/>
      <c r="D4" s="97"/>
      <c r="E4" s="97"/>
      <c r="F4" s="97"/>
      <c r="G4" s="97"/>
      <c r="H4" s="9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7" t="s">
        <v>184</v>
      </c>
      <c r="C8" s="108"/>
      <c r="D8" s="108"/>
      <c r="E8" s="108"/>
      <c r="F8" s="108"/>
      <c r="G8" s="108"/>
      <c r="H8" s="109"/>
      <c r="I8" s="1"/>
    </row>
    <row r="9" spans="1:9" ht="15" customHeight="1" x14ac:dyDescent="0.25">
      <c r="A9" s="1"/>
      <c r="B9" s="132" t="s">
        <v>234</v>
      </c>
      <c r="C9" s="133"/>
      <c r="D9" s="133"/>
      <c r="E9" s="133"/>
      <c r="F9" s="133"/>
      <c r="G9" s="133"/>
      <c r="H9" s="134"/>
      <c r="I9" s="1"/>
    </row>
    <row r="10" spans="1:9" x14ac:dyDescent="0.25">
      <c r="A10" s="1"/>
      <c r="B10" s="135" t="s">
        <v>185</v>
      </c>
      <c r="C10" s="136"/>
      <c r="D10" s="136"/>
      <c r="E10" s="136"/>
      <c r="F10" s="137"/>
      <c r="G10" s="45"/>
      <c r="H10" s="9" t="s">
        <v>3</v>
      </c>
      <c r="I10" s="1"/>
    </row>
    <row r="11" spans="1:9" x14ac:dyDescent="0.25">
      <c r="A11" s="1"/>
      <c r="B11" s="135" t="s">
        <v>186</v>
      </c>
      <c r="C11" s="136"/>
      <c r="D11" s="136"/>
      <c r="E11" s="136"/>
      <c r="F11" s="137"/>
      <c r="G11" s="45"/>
      <c r="H11" s="9" t="s">
        <v>3</v>
      </c>
      <c r="I11" s="1"/>
    </row>
    <row r="12" spans="1:9" x14ac:dyDescent="0.25">
      <c r="A12" s="1"/>
      <c r="B12" s="135" t="s">
        <v>187</v>
      </c>
      <c r="C12" s="136"/>
      <c r="D12" s="136"/>
      <c r="E12" s="136"/>
      <c r="F12" s="137"/>
      <c r="G12" s="9"/>
      <c r="H12" s="9" t="s">
        <v>3</v>
      </c>
      <c r="I12" s="1"/>
    </row>
    <row r="13" spans="1:9" x14ac:dyDescent="0.25">
      <c r="A13" s="1"/>
      <c r="B13" s="135" t="s">
        <v>188</v>
      </c>
      <c r="C13" s="136"/>
      <c r="D13" s="136"/>
      <c r="E13" s="136"/>
      <c r="F13" s="137"/>
      <c r="G13" s="9"/>
      <c r="H13" s="9" t="s">
        <v>3</v>
      </c>
      <c r="I13" s="1"/>
    </row>
    <row r="14" spans="1:9" x14ac:dyDescent="0.25">
      <c r="A14" s="1"/>
      <c r="B14" s="135" t="s">
        <v>189</v>
      </c>
      <c r="C14" s="136"/>
      <c r="D14" s="136"/>
      <c r="E14" s="136"/>
      <c r="F14" s="137"/>
      <c r="G14" s="9"/>
      <c r="H14" s="9" t="s">
        <v>3</v>
      </c>
      <c r="I14" s="1"/>
    </row>
    <row r="15" spans="1:9" x14ac:dyDescent="0.25">
      <c r="A15" s="1"/>
      <c r="B15" s="135" t="s">
        <v>190</v>
      </c>
      <c r="C15" s="136"/>
      <c r="D15" s="136"/>
      <c r="E15" s="136"/>
      <c r="F15" s="137"/>
      <c r="G15" s="9"/>
      <c r="H15" s="9" t="s">
        <v>3</v>
      </c>
      <c r="I15" s="1"/>
    </row>
    <row r="16" spans="1:9" x14ac:dyDescent="0.25">
      <c r="A16" s="1"/>
      <c r="B16" s="135" t="s">
        <v>191</v>
      </c>
      <c r="C16" s="136"/>
      <c r="D16" s="136"/>
      <c r="E16" s="136"/>
      <c r="F16" s="137"/>
      <c r="G16" s="9"/>
      <c r="H16" s="9" t="s">
        <v>3</v>
      </c>
      <c r="I16" s="1"/>
    </row>
    <row r="17" spans="1:9" x14ac:dyDescent="0.25">
      <c r="A17" s="1"/>
      <c r="B17" s="135" t="s">
        <v>192</v>
      </c>
      <c r="C17" s="136"/>
      <c r="D17" s="136"/>
      <c r="E17" s="136"/>
      <c r="F17" s="137"/>
      <c r="G17" s="9"/>
      <c r="H17" s="9" t="s">
        <v>3</v>
      </c>
      <c r="I17" s="1"/>
    </row>
    <row r="18" spans="1:9" x14ac:dyDescent="0.25">
      <c r="A18" s="1"/>
      <c r="B18" s="107" t="s">
        <v>193</v>
      </c>
      <c r="C18" s="108"/>
      <c r="D18" s="108"/>
      <c r="E18" s="108"/>
      <c r="F18" s="10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AxJPnVW9nvvYIiUq2OfPITybzrbvUh+rG60LJ0DY7WQpFz02n9NqlEdR5KW5wu8ccU0kmyXpbgzY7Pm/ISVdIg==" saltValue="9blZG0qGA3z3BrhWoZLwX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85" zoomScaleNormal="100" zoomScalePageLayoutView="85"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7" t="s">
        <v>177</v>
      </c>
      <c r="C3" s="97"/>
      <c r="D3" s="97"/>
      <c r="E3" s="97"/>
      <c r="F3" s="97"/>
      <c r="G3" s="97"/>
      <c r="H3" s="97"/>
      <c r="I3" s="97"/>
      <c r="J3" s="97"/>
      <c r="K3" s="97"/>
      <c r="L3" s="1"/>
    </row>
    <row r="4" spans="1:12" ht="15" customHeight="1" x14ac:dyDescent="0.25">
      <c r="A4" s="1"/>
      <c r="B4" s="97"/>
      <c r="C4" s="97"/>
      <c r="D4" s="97"/>
      <c r="E4" s="97"/>
      <c r="F4" s="97"/>
      <c r="G4" s="97"/>
      <c r="H4" s="97"/>
      <c r="I4" s="97"/>
      <c r="J4" s="97"/>
      <c r="K4" s="9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7" t="s">
        <v>155</v>
      </c>
      <c r="C8" s="108"/>
      <c r="D8" s="108"/>
      <c r="E8" s="108"/>
      <c r="F8" s="108"/>
      <c r="G8" s="108"/>
      <c r="H8" s="108"/>
      <c r="I8" s="108"/>
      <c r="J8" s="108"/>
      <c r="K8" s="109"/>
      <c r="L8" s="1"/>
    </row>
    <row r="9" spans="1:12" ht="39.75" customHeight="1" x14ac:dyDescent="0.25">
      <c r="A9" s="1"/>
      <c r="B9" s="18" t="s">
        <v>0</v>
      </c>
      <c r="C9" s="18" t="s">
        <v>1</v>
      </c>
      <c r="D9" s="138" t="s">
        <v>170</v>
      </c>
      <c r="E9" s="139"/>
      <c r="F9" s="138" t="s">
        <v>2</v>
      </c>
      <c r="G9" s="139"/>
      <c r="H9" s="138" t="s">
        <v>171</v>
      </c>
      <c r="I9" s="139"/>
      <c r="J9" s="138" t="s">
        <v>26</v>
      </c>
      <c r="K9" s="139"/>
      <c r="L9" s="1"/>
    </row>
    <row r="10" spans="1:12" x14ac:dyDescent="0.25">
      <c r="A10" s="1"/>
      <c r="B10" s="78" t="s">
        <v>238</v>
      </c>
      <c r="C10" s="31">
        <v>0</v>
      </c>
      <c r="D10" s="9">
        <v>0</v>
      </c>
      <c r="E10" s="14" t="s">
        <v>3</v>
      </c>
      <c r="F10" s="56">
        <f>IFERROR(D10/C10,0)</f>
        <v>0</v>
      </c>
      <c r="G10" s="14" t="s">
        <v>3</v>
      </c>
      <c r="H10" s="9">
        <v>0</v>
      </c>
      <c r="I10" s="14" t="s">
        <v>3</v>
      </c>
      <c r="J10" s="9">
        <v>0</v>
      </c>
      <c r="K10" s="14" t="s">
        <v>3</v>
      </c>
      <c r="L10" s="1"/>
    </row>
    <row r="11" spans="1:12" x14ac:dyDescent="0.25">
      <c r="A11" s="1"/>
      <c r="B11" s="52" t="s">
        <v>215</v>
      </c>
      <c r="C11" s="53"/>
      <c r="D11" s="19"/>
      <c r="E11" s="67"/>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tQOeK6dIlaY6bezhIRCgHaA63TYaG/2hl9mTfrDp9uQTRqpWQG0GtnWjgalHqvMANuNwK0Hh08k0dnAenOMQZw==" saltValue="cSp/lZFCTJcZHgiBsopui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178</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6" t="s">
        <v>15</v>
      </c>
      <c r="C9" s="76" t="s">
        <v>10</v>
      </c>
      <c r="D9" s="77"/>
      <c r="E9" s="76"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264</v>
      </c>
      <c r="C11" s="21">
        <v>0</v>
      </c>
      <c r="D11" s="14" t="s">
        <v>3</v>
      </c>
      <c r="E11" s="9">
        <v>48920</v>
      </c>
      <c r="F11" s="14" t="s">
        <v>3</v>
      </c>
      <c r="G11" s="1"/>
    </row>
    <row r="12" spans="1:7" x14ac:dyDescent="0.25">
      <c r="A12" s="1"/>
      <c r="B12" s="27" t="s">
        <v>265</v>
      </c>
      <c r="C12" s="21">
        <v>0</v>
      </c>
      <c r="D12" s="14" t="s">
        <v>3</v>
      </c>
      <c r="E12" s="9">
        <v>173422</v>
      </c>
      <c r="F12" s="14" t="s">
        <v>3</v>
      </c>
      <c r="G12" s="1"/>
    </row>
    <row r="13" spans="1:7" x14ac:dyDescent="0.25">
      <c r="A13" s="1"/>
      <c r="B13" s="27" t="s">
        <v>266</v>
      </c>
      <c r="C13" s="21">
        <v>0</v>
      </c>
      <c r="D13" s="14" t="s">
        <v>3</v>
      </c>
      <c r="E13" s="9">
        <v>291880</v>
      </c>
      <c r="F13" s="14" t="s">
        <v>3</v>
      </c>
      <c r="G13" s="1"/>
    </row>
    <row r="14" spans="1:7" x14ac:dyDescent="0.25">
      <c r="A14" s="1"/>
      <c r="B14" s="27" t="s">
        <v>267</v>
      </c>
      <c r="C14" s="21">
        <v>0</v>
      </c>
      <c r="D14" s="14" t="s">
        <v>3</v>
      </c>
      <c r="E14" s="9">
        <v>2126</v>
      </c>
      <c r="F14" s="14" t="s">
        <v>3</v>
      </c>
      <c r="G14" s="1"/>
    </row>
    <row r="15" spans="1:7" x14ac:dyDescent="0.25">
      <c r="A15" s="1"/>
      <c r="B15" s="27" t="s">
        <v>268</v>
      </c>
      <c r="C15" s="21">
        <v>0</v>
      </c>
      <c r="D15" s="14" t="s">
        <v>3</v>
      </c>
      <c r="E15" s="9">
        <v>20000</v>
      </c>
      <c r="F15" s="14" t="s">
        <v>3</v>
      </c>
      <c r="G15" s="1"/>
    </row>
    <row r="16" spans="1:7" x14ac:dyDescent="0.25">
      <c r="A16" s="1"/>
      <c r="B16" s="27" t="s">
        <v>269</v>
      </c>
      <c r="C16" s="21">
        <v>0</v>
      </c>
      <c r="D16" s="14" t="s">
        <v>3</v>
      </c>
      <c r="E16" s="9">
        <v>932439</v>
      </c>
      <c r="F16" s="14" t="s">
        <v>3</v>
      </c>
      <c r="G16" s="1"/>
    </row>
    <row r="17" spans="1:7" x14ac:dyDescent="0.25">
      <c r="A17" s="1"/>
      <c r="B17" s="27" t="s">
        <v>270</v>
      </c>
      <c r="C17" s="21">
        <v>0</v>
      </c>
      <c r="D17" s="14" t="s">
        <v>3</v>
      </c>
      <c r="E17" s="9">
        <v>44823</v>
      </c>
      <c r="F17" s="14" t="s">
        <v>3</v>
      </c>
      <c r="G17" s="1"/>
    </row>
    <row r="18" spans="1:7" x14ac:dyDescent="0.25">
      <c r="A18" s="1"/>
      <c r="B18" s="27" t="s">
        <v>271</v>
      </c>
      <c r="C18" s="21">
        <v>0</v>
      </c>
      <c r="D18" s="14" t="s">
        <v>3</v>
      </c>
      <c r="E18" s="9">
        <v>3953</v>
      </c>
      <c r="F18" s="14" t="s">
        <v>3</v>
      </c>
      <c r="G18" s="1"/>
    </row>
    <row r="19" spans="1:7" x14ac:dyDescent="0.25">
      <c r="A19" s="1"/>
      <c r="B19" s="27" t="s">
        <v>272</v>
      </c>
      <c r="C19" s="21">
        <v>458095</v>
      </c>
      <c r="D19" s="14" t="s">
        <v>3</v>
      </c>
      <c r="E19" s="9">
        <v>32000</v>
      </c>
      <c r="F19" s="14" t="s">
        <v>3</v>
      </c>
      <c r="G19" s="1"/>
    </row>
    <row r="20" spans="1:7" x14ac:dyDescent="0.25">
      <c r="A20" s="1"/>
      <c r="B20" s="27" t="s">
        <v>273</v>
      </c>
      <c r="C20" s="21">
        <v>0</v>
      </c>
      <c r="D20" s="14" t="s">
        <v>3</v>
      </c>
      <c r="E20" s="9">
        <v>50858</v>
      </c>
      <c r="F20" s="14" t="s">
        <v>3</v>
      </c>
      <c r="G20" s="1"/>
    </row>
    <row r="21" spans="1:7" x14ac:dyDescent="0.25">
      <c r="A21" s="1"/>
      <c r="B21" s="27" t="s">
        <v>260</v>
      </c>
      <c r="C21" s="21">
        <v>0</v>
      </c>
      <c r="D21" s="14" t="s">
        <v>3</v>
      </c>
      <c r="E21" s="9">
        <v>5475</v>
      </c>
      <c r="F21" s="14" t="s">
        <v>3</v>
      </c>
      <c r="G21" s="1"/>
    </row>
    <row r="22" spans="1:7" x14ac:dyDescent="0.25">
      <c r="A22" s="1"/>
      <c r="B22" s="27" t="s">
        <v>261</v>
      </c>
      <c r="C22" s="21">
        <v>26636</v>
      </c>
      <c r="D22" s="14" t="s">
        <v>3</v>
      </c>
      <c r="E22" s="9">
        <v>73400</v>
      </c>
      <c r="F22" s="14" t="s">
        <v>3</v>
      </c>
      <c r="G22" s="1"/>
    </row>
    <row r="23" spans="1:7" x14ac:dyDescent="0.25">
      <c r="A23" s="1"/>
      <c r="B23" s="27" t="s">
        <v>262</v>
      </c>
      <c r="C23" s="21">
        <v>41003</v>
      </c>
      <c r="D23" s="14" t="s">
        <v>3</v>
      </c>
      <c r="E23" s="9">
        <v>1682</v>
      </c>
      <c r="F23" s="14" t="s">
        <v>3</v>
      </c>
      <c r="G23" s="1"/>
    </row>
    <row r="24" spans="1:7" x14ac:dyDescent="0.25">
      <c r="A24" s="1"/>
      <c r="B24" s="27"/>
      <c r="C24" s="21"/>
      <c r="D24" s="14" t="s">
        <v>3</v>
      </c>
      <c r="E24" s="9"/>
      <c r="F24" s="14" t="s">
        <v>3</v>
      </c>
      <c r="G24" s="1"/>
    </row>
    <row r="25" spans="1:7" x14ac:dyDescent="0.25">
      <c r="A25" s="1"/>
      <c r="B25" s="52" t="s">
        <v>151</v>
      </c>
      <c r="C25" s="12">
        <f>SUM(C10:C24)</f>
        <v>525734</v>
      </c>
      <c r="D25" s="13" t="s">
        <v>3</v>
      </c>
      <c r="E25" s="12">
        <f>SUM(E10:E24)</f>
        <v>1680978</v>
      </c>
      <c r="F25" s="13" t="s">
        <v>3</v>
      </c>
      <c r="G25" s="1"/>
    </row>
    <row r="26" spans="1:7" x14ac:dyDescent="0.25">
      <c r="A26" s="1"/>
      <c r="B26" s="52" t="s">
        <v>209</v>
      </c>
      <c r="C26" s="12">
        <f>C25*(1+'Fane 13. Nøgletal'!C16)</f>
        <v>568213.30720000004</v>
      </c>
      <c r="D26" s="13" t="s">
        <v>3</v>
      </c>
      <c r="E26" s="12">
        <f>E25*(1+'Fane 13. Nøgletal'!C16)</f>
        <v>1816801.0223999999</v>
      </c>
      <c r="F26" s="13" t="s">
        <v>3</v>
      </c>
      <c r="G26" s="1"/>
    </row>
    <row r="27" spans="1:7" x14ac:dyDescent="0.25">
      <c r="A27" s="1"/>
      <c r="B27" s="1"/>
      <c r="C27" s="1" t="s">
        <v>168</v>
      </c>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2Bi9HGAb3Hj/TbADMBtxDImzjCsChGz6nrmH9A6Y1vfyuy/Tcy8a5H/BhFDTciJMQEc21mxbfROn+vnTykOY2A==" saltValue="OSpbDksHh8RXMfjw5llGr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85" zoomScaleNormal="100" zoomScalePageLayoutView="85"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179</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7" t="s">
        <v>217</v>
      </c>
      <c r="C9" s="108"/>
      <c r="D9" s="108"/>
      <c r="E9" s="108"/>
      <c r="F9" s="109"/>
      <c r="G9" s="1"/>
    </row>
    <row r="10" spans="1:7" ht="26.25" x14ac:dyDescent="0.25">
      <c r="A10" s="1"/>
      <c r="B10" s="76" t="s">
        <v>15</v>
      </c>
      <c r="C10" s="76" t="s">
        <v>10</v>
      </c>
      <c r="D10" s="77"/>
      <c r="E10" s="76" t="s">
        <v>27</v>
      </c>
      <c r="F10" s="30"/>
      <c r="G10" s="1"/>
    </row>
    <row r="11" spans="1:7" x14ac:dyDescent="0.25">
      <c r="A11" s="1"/>
      <c r="B11" s="23" t="s">
        <v>263</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2" t="s">
        <v>218</v>
      </c>
      <c r="C14" s="12">
        <f>SUM(C11:C13)</f>
        <v>0</v>
      </c>
      <c r="D14" s="13" t="s">
        <v>3</v>
      </c>
      <c r="E14" s="12">
        <f>SUM(E11:E13)</f>
        <v>0</v>
      </c>
      <c r="F14" s="13" t="s">
        <v>3</v>
      </c>
      <c r="G14" s="1"/>
    </row>
    <row r="15" spans="1:7" x14ac:dyDescent="0.25">
      <c r="A15" s="1"/>
      <c r="B15" s="52"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RgBW7hp/bVXrgxt0YRayVX3aE86Vis37s9CEdtyuWVKhJfFywm16Jf/YYk6bCr13KS+AU8QqD3lBTC8WRo0kw==" saltValue="39DfB24Pimj8Izv1Jo8glA=="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70" zoomScaleNormal="100" zoomScalePageLayoutView="7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180</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7" t="s">
        <v>104</v>
      </c>
      <c r="C8" s="108"/>
      <c r="D8" s="108"/>
      <c r="E8" s="108"/>
      <c r="F8" s="109"/>
      <c r="G8" s="1"/>
    </row>
    <row r="9" spans="1:7" ht="15" customHeight="1" x14ac:dyDescent="0.25">
      <c r="A9" s="1"/>
      <c r="B9" s="54" t="s">
        <v>105</v>
      </c>
      <c r="C9" s="132" t="s">
        <v>10</v>
      </c>
      <c r="D9" s="134"/>
      <c r="E9" s="132" t="s">
        <v>27</v>
      </c>
      <c r="F9" s="134"/>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oUGvK0bMjZv/4qt+BknH0FWqoSWS8rdTkKjs9/hds5394eP/4j4ssBU5q/12B2CwQ5YqWCjHKKvC1L7N22d00w==" saltValue="eIxfrsz3koh9LoUmeH97a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F49"/>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0" t="s">
        <v>181</v>
      </c>
      <c r="C3" s="100"/>
      <c r="D3" s="100"/>
      <c r="E3" s="100"/>
      <c r="F3" s="100"/>
    </row>
    <row r="4" spans="1:6" ht="25.5" customHeight="1" x14ac:dyDescent="0.25">
      <c r="A4" s="1"/>
      <c r="B4" s="100"/>
      <c r="C4" s="100"/>
      <c r="D4" s="100"/>
      <c r="E4" s="100"/>
      <c r="F4" s="100"/>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
      <c r="C8" s="1"/>
      <c r="D8" s="1"/>
      <c r="E8" s="1"/>
      <c r="F8" s="1"/>
    </row>
    <row r="9" spans="1:6" ht="15" customHeight="1" x14ac:dyDescent="0.25">
      <c r="A9" s="1"/>
      <c r="B9" s="1"/>
      <c r="C9" s="1"/>
      <c r="D9" s="1"/>
      <c r="E9" s="1"/>
      <c r="F9" s="1"/>
    </row>
    <row r="10" spans="1:6" x14ac:dyDescent="0.25">
      <c r="A10" s="1"/>
      <c r="B10" s="107" t="s">
        <v>237</v>
      </c>
      <c r="C10" s="108"/>
      <c r="D10" s="108"/>
      <c r="E10" s="108"/>
      <c r="F10" s="109"/>
    </row>
    <row r="11" spans="1:6" ht="26.25" x14ac:dyDescent="0.25">
      <c r="A11" s="1"/>
      <c r="B11" s="54" t="s">
        <v>16</v>
      </c>
      <c r="C11" s="54" t="s">
        <v>10</v>
      </c>
      <c r="D11" s="30"/>
      <c r="E11" s="54" t="s">
        <v>27</v>
      </c>
      <c r="F11" s="30"/>
    </row>
    <row r="12" spans="1:6" x14ac:dyDescent="0.25">
      <c r="A12" s="1"/>
      <c r="B12" s="58" t="s">
        <v>242</v>
      </c>
      <c r="C12" s="9">
        <v>0</v>
      </c>
      <c r="D12" s="14" t="s">
        <v>3</v>
      </c>
      <c r="E12" s="9">
        <v>0</v>
      </c>
      <c r="F12" s="14" t="s">
        <v>3</v>
      </c>
    </row>
    <row r="13" spans="1:6" x14ac:dyDescent="0.25">
      <c r="A13" s="1"/>
      <c r="B13" s="52" t="s">
        <v>78</v>
      </c>
      <c r="C13" s="12">
        <f>SUM(C12:C12)</f>
        <v>0</v>
      </c>
      <c r="D13" s="13" t="s">
        <v>3</v>
      </c>
      <c r="E13" s="12">
        <f>SUM(E12:E12)</f>
        <v>0</v>
      </c>
      <c r="F13" s="13" t="s">
        <v>3</v>
      </c>
    </row>
    <row r="14" spans="1:6" x14ac:dyDescent="0.25">
      <c r="A14" s="1"/>
      <c r="B14" s="52" t="s">
        <v>233</v>
      </c>
      <c r="C14" s="12">
        <f>C13*(1+'Fane 13. Nøgletal'!C16)</f>
        <v>0</v>
      </c>
      <c r="D14" s="13" t="s">
        <v>3</v>
      </c>
      <c r="E14" s="12">
        <f>E13*(1+'Fane 13. Nøgletal'!C16)</f>
        <v>0</v>
      </c>
      <c r="F14" s="13" t="s">
        <v>3</v>
      </c>
    </row>
    <row r="15" spans="1:6" x14ac:dyDescent="0.25">
      <c r="A15" s="1"/>
      <c r="B15" s="1"/>
      <c r="C15" s="1"/>
      <c r="D15" s="1"/>
      <c r="E15" s="1"/>
      <c r="F15" s="1"/>
    </row>
    <row r="16" spans="1:6" x14ac:dyDescent="0.25">
      <c r="A16" s="1"/>
      <c r="B16" s="1"/>
      <c r="C16" s="1"/>
      <c r="D16" s="1"/>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TbR6T16arZGd2nBnGmiB3MRb3Zfnq7gW8G7yLv0xhjXkvlaxwnzsKvqEVWI4Y4vLta/j7ZgSkshbQWBLIg8YTA==" saltValue="UPPRAMSTQTOlNO7AdRkWF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85" zoomScaleNormal="100" zoomScalePageLayoutView="85"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0" t="s">
        <v>182</v>
      </c>
      <c r="C3" s="100"/>
      <c r="D3" s="1"/>
    </row>
    <row r="4" spans="1:4" ht="25.5" customHeight="1" x14ac:dyDescent="0.25">
      <c r="A4" s="1"/>
      <c r="B4" s="100"/>
      <c r="C4" s="100"/>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71" t="s">
        <v>93</v>
      </c>
      <c r="C9" s="40">
        <v>1.2699999999999999E-2</v>
      </c>
      <c r="D9" s="1"/>
    </row>
    <row r="10" spans="1:4" x14ac:dyDescent="0.25">
      <c r="A10" s="1"/>
      <c r="B10" s="71" t="s">
        <v>21</v>
      </c>
      <c r="C10" s="40">
        <v>1.7500000000000002E-2</v>
      </c>
      <c r="D10" s="1"/>
    </row>
    <row r="11" spans="1:4" x14ac:dyDescent="0.25">
      <c r="A11" s="1"/>
      <c r="B11" s="71"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7"/>
      <c r="C17" s="109"/>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71" t="s">
        <v>95</v>
      </c>
      <c r="C21" s="42">
        <v>9.1000000000000004E-3</v>
      </c>
      <c r="D21" s="1"/>
    </row>
    <row r="22" spans="1:4" x14ac:dyDescent="0.25">
      <c r="A22" s="1"/>
      <c r="B22" s="71" t="s">
        <v>96</v>
      </c>
      <c r="C22" s="42">
        <v>1.77E-2</v>
      </c>
      <c r="D22" s="1"/>
    </row>
    <row r="23" spans="1:4" x14ac:dyDescent="0.25">
      <c r="A23" s="1"/>
      <c r="B23" s="71" t="s">
        <v>97</v>
      </c>
      <c r="C23" s="42">
        <v>8.6999999999999994E-3</v>
      </c>
      <c r="D23" s="1"/>
    </row>
    <row r="24" spans="1:4" x14ac:dyDescent="0.25">
      <c r="A24" s="1"/>
      <c r="B24" s="71" t="s">
        <v>98</v>
      </c>
      <c r="C24" s="42">
        <v>2.8400000000000002E-2</v>
      </c>
      <c r="D24" s="1"/>
    </row>
    <row r="25" spans="1:4" x14ac:dyDescent="0.25">
      <c r="A25" s="1"/>
      <c r="B25" s="71" t="s">
        <v>111</v>
      </c>
      <c r="C25" s="42">
        <v>2.75E-2</v>
      </c>
      <c r="D25" s="1"/>
    </row>
    <row r="26" spans="1:4" x14ac:dyDescent="0.25">
      <c r="A26" s="1"/>
      <c r="B26" s="71"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71"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IAnu0/n4k9+rvO6zShNato1ymMPV+7y7JkM+cgbYTWBIDOYMGtIahsJKa868dr0IfNod9yIq1rubGDhBlobcAQ==" saltValue="muzIx/clPfR9VaBeMX8CqQ=="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70" zoomScaleNormal="100" zoomScalePageLayoutView="7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198</v>
      </c>
      <c r="C3" s="97"/>
      <c r="D3" s="97"/>
      <c r="E3" s="1"/>
    </row>
    <row r="4" spans="1:5" ht="15" customHeight="1"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15463149.299961749</v>
      </c>
      <c r="D8" s="8" t="s">
        <v>3</v>
      </c>
      <c r="E8" s="1"/>
    </row>
    <row r="9" spans="1:5" ht="17.100000000000001" customHeight="1" x14ac:dyDescent="0.25">
      <c r="A9" s="1"/>
      <c r="B9" s="24" t="s">
        <v>33</v>
      </c>
      <c r="C9" s="7">
        <f>'Fane 10.1. Varige tillæg'!C26</f>
        <v>568213.30720000004</v>
      </c>
      <c r="D9" s="8" t="s">
        <v>3</v>
      </c>
      <c r="E9" s="1"/>
    </row>
    <row r="10" spans="1:5" ht="17.100000000000001" customHeight="1" x14ac:dyDescent="0.25">
      <c r="A10" s="1"/>
      <c r="B10" s="24" t="s">
        <v>34</v>
      </c>
      <c r="C10" s="9">
        <f>'Fane 10.1. Varige tillæg'!E26</f>
        <v>1816801.0223999999</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743197.27291031834</v>
      </c>
      <c r="D15" s="8" t="s">
        <v>3</v>
      </c>
      <c r="E15" s="1"/>
    </row>
    <row r="16" spans="1:5" ht="17.100000000000001" customHeight="1" x14ac:dyDescent="0.25">
      <c r="A16" s="1"/>
      <c r="B16" s="24" t="s">
        <v>9</v>
      </c>
      <c r="C16" s="9">
        <f>-SUM(C8,C9:C15)*'Fane 5. Individuelt eff. krav'!G9</f>
        <v>0</v>
      </c>
      <c r="D16" s="8" t="s">
        <v>3</v>
      </c>
      <c r="E16" s="1"/>
    </row>
    <row r="17" spans="1:5" ht="17.100000000000001" customHeight="1" x14ac:dyDescent="0.25">
      <c r="A17" s="1"/>
      <c r="B17" s="24" t="s">
        <v>22</v>
      </c>
      <c r="C17" s="9">
        <f>-'Fane 4.1. Gen. krav - drift'!G49</f>
        <v>-144257.76900537737</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3" t="s">
        <v>19</v>
      </c>
      <c r="C19" s="10">
        <f>SUM(C8:C18)</f>
        <v>18447103.133466691</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12252878.61051072</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3" t="s">
        <v>76</v>
      </c>
      <c r="C27" s="57">
        <f>SUM(C23:C26)</f>
        <v>0</v>
      </c>
      <c r="D27" s="11" t="s">
        <v>3</v>
      </c>
      <c r="E27" s="1"/>
    </row>
    <row r="28" spans="1:5" ht="15" customHeight="1" x14ac:dyDescent="0.25">
      <c r="A28" s="1"/>
      <c r="B28" s="26" t="s">
        <v>117</v>
      </c>
      <c r="C28" s="53"/>
      <c r="D28" s="19"/>
      <c r="E28" s="1"/>
    </row>
    <row r="29" spans="1:5" x14ac:dyDescent="0.25">
      <c r="A29" s="1"/>
      <c r="B29" s="72" t="s">
        <v>118</v>
      </c>
      <c r="C29" s="10">
        <f>'Fane 7. Kontrol af ØR2022'!E15</f>
        <v>0</v>
      </c>
      <c r="D29" s="11" t="s">
        <v>3</v>
      </c>
      <c r="E29" s="1"/>
    </row>
    <row r="30" spans="1:5" x14ac:dyDescent="0.25">
      <c r="A30" s="1"/>
      <c r="B30" s="26" t="s">
        <v>138</v>
      </c>
      <c r="C30" s="53"/>
      <c r="D30" s="19"/>
      <c r="E30" s="1"/>
    </row>
    <row r="31" spans="1:5" x14ac:dyDescent="0.25">
      <c r="A31" s="1"/>
      <c r="B31" s="72" t="s">
        <v>139</v>
      </c>
      <c r="C31" s="10">
        <f>'Fane 8. Skattesagen'!G13</f>
        <v>0</v>
      </c>
      <c r="D31" s="11" t="s">
        <v>3</v>
      </c>
      <c r="E31" s="1"/>
    </row>
    <row r="32" spans="1:5" x14ac:dyDescent="0.25">
      <c r="A32" s="1"/>
      <c r="B32" s="52" t="s">
        <v>126</v>
      </c>
      <c r="C32" s="33">
        <f>SUM(C19,C21,C27,C29,C31)</f>
        <v>30699981.743977413</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bYOQ2ZKiTnsQVCBdHS9G52bKuk0kVeEuvqxgfckfh5RedfAcnbpUXwwudSpMmbw6Zt3CdCoEI+qrsCGHKltnQg==" saltValue="1G+nZZbuLKK2NP7fC7h7V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199</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18447103.133466691</v>
      </c>
      <c r="D8" s="8" t="s">
        <v>3</v>
      </c>
      <c r="E8" s="1"/>
    </row>
    <row r="9" spans="1:5" ht="15" customHeight="1" x14ac:dyDescent="0.25">
      <c r="A9" s="1"/>
      <c r="B9" s="29" t="s">
        <v>17</v>
      </c>
      <c r="C9" s="9">
        <f>SUM(C8:C8)*'Fane 13. Nøgletal'!C16</f>
        <v>1490525.9331841085</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drift'!G54</f>
        <v>-152795.52080619161</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19784833.545844607</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13242911.202239987</v>
      </c>
      <c r="D15" s="11" t="s">
        <v>3</v>
      </c>
      <c r="E15" s="1"/>
    </row>
    <row r="16" spans="1:5" x14ac:dyDescent="0.25">
      <c r="A16" s="1"/>
      <c r="B16" s="26" t="s">
        <v>117</v>
      </c>
      <c r="C16" s="53"/>
      <c r="D16" s="19"/>
      <c r="E16" s="1"/>
    </row>
    <row r="17" spans="1:5" ht="15" customHeight="1" x14ac:dyDescent="0.25">
      <c r="A17" s="1"/>
      <c r="B17" s="72" t="s">
        <v>118</v>
      </c>
      <c r="C17" s="10">
        <f>'Fane 7. Kontrol af ØR2022'!E33</f>
        <v>-753484.5</v>
      </c>
      <c r="D17" s="11" t="s">
        <v>3</v>
      </c>
      <c r="E17" s="1"/>
    </row>
    <row r="18" spans="1:5" x14ac:dyDescent="0.25">
      <c r="A18" s="1"/>
      <c r="B18" s="26" t="s">
        <v>138</v>
      </c>
      <c r="C18" s="53"/>
      <c r="D18" s="19"/>
      <c r="E18" s="1"/>
    </row>
    <row r="19" spans="1:5" x14ac:dyDescent="0.25">
      <c r="A19" s="1"/>
      <c r="B19" s="72" t="s">
        <v>139</v>
      </c>
      <c r="C19" s="10">
        <f>'Fane 8. Skattesagen'!G13</f>
        <v>0</v>
      </c>
      <c r="D19" s="11" t="s">
        <v>3</v>
      </c>
      <c r="E19" s="1"/>
    </row>
    <row r="20" spans="1:5" x14ac:dyDescent="0.25">
      <c r="A20" s="1"/>
      <c r="B20" s="52" t="s">
        <v>128</v>
      </c>
      <c r="C20" s="12">
        <f>SUM(C13,C15,C17,C19)</f>
        <v>32274260.248084594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lR91jizH6tf1J+463lWsKZzseOqq/UNrh5IdLX9BXibZuOUDN/oJmpAKuuX/F+2pa2crZ+tq1DmQzcWmU3Hwdg==" saltValue="iHgIMLQ3wrPVJuNvYREtN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200</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19784833.545844607</v>
      </c>
      <c r="D8" s="8" t="s">
        <v>3</v>
      </c>
      <c r="E8" s="1"/>
    </row>
    <row r="9" spans="1:5" ht="15" customHeight="1" x14ac:dyDescent="0.25">
      <c r="A9" s="1"/>
      <c r="B9" s="29" t="s">
        <v>17</v>
      </c>
      <c r="C9" s="9">
        <f>SUM(C8:C8)*'Fane 13. Nøgletal'!C16</f>
        <v>1598614.5505042442</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drift'!G59</f>
        <v>-161838.57090958525</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21221609.525439266</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14312938.427380975</v>
      </c>
      <c r="D15" s="11" t="s">
        <v>3</v>
      </c>
      <c r="E15" s="1"/>
    </row>
    <row r="16" spans="1:5" x14ac:dyDescent="0.25">
      <c r="A16" s="1"/>
      <c r="B16" s="52" t="s">
        <v>117</v>
      </c>
      <c r="C16" s="53"/>
      <c r="D16" s="19"/>
      <c r="E16" s="1"/>
    </row>
    <row r="17" spans="1:5" x14ac:dyDescent="0.25">
      <c r="A17" s="1"/>
      <c r="B17" s="54" t="s">
        <v>118</v>
      </c>
      <c r="C17" s="10">
        <f>'Fane 7. Kontrol af ØR2022'!E33</f>
        <v>-753484.5</v>
      </c>
      <c r="D17" s="11" t="s">
        <v>3</v>
      </c>
      <c r="E17" s="1"/>
    </row>
    <row r="18" spans="1:5" ht="15" customHeight="1" x14ac:dyDescent="0.25">
      <c r="A18" s="1"/>
      <c r="B18" s="26" t="s">
        <v>138</v>
      </c>
      <c r="C18" s="53"/>
      <c r="D18" s="19"/>
      <c r="E18" s="1"/>
    </row>
    <row r="19" spans="1:5" ht="15" customHeight="1" x14ac:dyDescent="0.25">
      <c r="A19" s="1"/>
      <c r="B19" s="72" t="s">
        <v>139</v>
      </c>
      <c r="C19" s="10">
        <f>'Fane 8. Skattesagen'!G14</f>
        <v>0</v>
      </c>
      <c r="D19" s="11" t="s">
        <v>3</v>
      </c>
      <c r="E19" s="1"/>
    </row>
    <row r="20" spans="1:5" x14ac:dyDescent="0.25">
      <c r="A20" s="1"/>
      <c r="B20" s="52" t="s">
        <v>143</v>
      </c>
      <c r="C20" s="12">
        <f>SUM(C13,C15,C17,C19)</f>
        <v>34781063.452820241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JzF285ycKiDjNcvdfRlUd20ucjap5sy0bVec1GTmLPH9oUM3dlfWZ8y26j+kOFjvnGTGiDfopPzyBms4HCWvw==" saltValue="Uuna5NPD6pWUHvwmy4bUl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85" zoomScaleNormal="100" zoomScalePageLayoutView="85"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204</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21221609.525439266</v>
      </c>
      <c r="D8" s="8" t="s">
        <v>3</v>
      </c>
      <c r="E8" s="1"/>
    </row>
    <row r="9" spans="1:5" ht="15" customHeight="1" x14ac:dyDescent="0.25">
      <c r="A9" s="1"/>
      <c r="B9" s="29" t="s">
        <v>17</v>
      </c>
      <c r="C9" s="9">
        <f>SUM(C8:C8)*'Fane 13. Nøgletal'!C16</f>
        <v>1714706.0496554927</v>
      </c>
      <c r="D9" s="8" t="s">
        <v>3</v>
      </c>
      <c r="E9" s="1"/>
    </row>
    <row r="10" spans="1:5" ht="15" customHeight="1" x14ac:dyDescent="0.25">
      <c r="A10" s="1"/>
      <c r="B10" s="29" t="s">
        <v>9</v>
      </c>
      <c r="C10" s="9">
        <f>-SUM(C8:C9)*'Fane 5. Individuelt eff. krav'!G9</f>
        <v>0</v>
      </c>
      <c r="D10" s="8" t="s">
        <v>3</v>
      </c>
      <c r="E10" s="1"/>
    </row>
    <row r="11" spans="1:5" ht="15" customHeight="1" x14ac:dyDescent="0.25">
      <c r="A11" s="1"/>
      <c r="B11" s="29" t="s">
        <v>22</v>
      </c>
      <c r="C11" s="9">
        <f>-'Fane 4.1. Gen. krav - drift'!G64</f>
        <v>-171416.82489029813</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22764898.750204463</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15469423.852313358</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72" t="s">
        <v>139</v>
      </c>
      <c r="C19" s="10">
        <f>'Fane 8. Skattesagen'!G15</f>
        <v>0</v>
      </c>
      <c r="D19" s="11" t="s">
        <v>3</v>
      </c>
      <c r="E19" s="1"/>
    </row>
    <row r="20" spans="1:5" x14ac:dyDescent="0.25">
      <c r="A20" s="1"/>
      <c r="B20" s="52" t="s">
        <v>205</v>
      </c>
      <c r="C20" s="12">
        <f>SUM(C13,C15,C17,C19)</f>
        <v>38234322.602517821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L9uA74zu1bGcat092bgdRJPK9y9O1m9ze9sOokSkcow/7Roui/WtURoUU4HtrUhYcz1oM4/kaeYnx6Xz07lj/Q==" saltValue="vB9RTRSid91Zkh+2SNm70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70" zoomScaleNormal="100" zoomScalePageLayoutView="7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0" t="s">
        <v>201</v>
      </c>
      <c r="C3" s="100"/>
      <c r="D3" s="100"/>
      <c r="E3" s="1"/>
    </row>
    <row r="4" spans="1:5"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14418419.606921148</v>
      </c>
      <c r="D8" s="8" t="s">
        <v>3</v>
      </c>
      <c r="E8" s="1"/>
    </row>
    <row r="9" spans="1:5" x14ac:dyDescent="0.25">
      <c r="A9" s="1"/>
      <c r="B9" s="24" t="s">
        <v>33</v>
      </c>
      <c r="C9" s="7">
        <v>167664.67560000002</v>
      </c>
      <c r="D9" s="8" t="s">
        <v>3</v>
      </c>
      <c r="E9" s="1"/>
    </row>
    <row r="10" spans="1:5" x14ac:dyDescent="0.25">
      <c r="A10" s="1"/>
      <c r="B10" s="24" t="s">
        <v>34</v>
      </c>
      <c r="C10" s="9">
        <v>471069.58560000005</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536034.67770511284</v>
      </c>
      <c r="D15" s="8" t="s">
        <v>3</v>
      </c>
      <c r="E15" s="1"/>
    </row>
    <row r="16" spans="1:5" x14ac:dyDescent="0.25">
      <c r="A16" s="1"/>
      <c r="B16" s="24" t="s">
        <v>9</v>
      </c>
      <c r="C16" s="9">
        <v>0</v>
      </c>
      <c r="D16" s="8" t="s">
        <v>3</v>
      </c>
      <c r="E16" s="1"/>
    </row>
    <row r="17" spans="1:5" x14ac:dyDescent="0.25">
      <c r="A17" s="1"/>
      <c r="B17" s="24" t="s">
        <v>22</v>
      </c>
      <c r="C17" s="9">
        <v>-130039.24586451131</v>
      </c>
      <c r="D17" s="8" t="s">
        <v>3</v>
      </c>
      <c r="E17" s="1"/>
    </row>
    <row r="18" spans="1:5" x14ac:dyDescent="0.25">
      <c r="A18" s="1"/>
      <c r="B18" s="24" t="s">
        <v>23</v>
      </c>
      <c r="C18" s="9">
        <v>0</v>
      </c>
      <c r="D18" s="8" t="s">
        <v>3</v>
      </c>
      <c r="E18" s="1"/>
    </row>
    <row r="19" spans="1:5" x14ac:dyDescent="0.25">
      <c r="A19" s="1"/>
      <c r="B19" s="73" t="s">
        <v>19</v>
      </c>
      <c r="C19" s="10">
        <v>15463149.299961749</v>
      </c>
      <c r="D19" s="11" t="s">
        <v>3</v>
      </c>
      <c r="E19" s="1"/>
    </row>
    <row r="20" spans="1:5" x14ac:dyDescent="0.25">
      <c r="A20" s="1"/>
      <c r="B20" s="52" t="s">
        <v>11</v>
      </c>
      <c r="C20" s="53"/>
      <c r="D20" s="19"/>
      <c r="E20" s="1"/>
    </row>
    <row r="21" spans="1:5" x14ac:dyDescent="0.25">
      <c r="A21" s="1"/>
      <c r="B21" s="54" t="s">
        <v>11</v>
      </c>
      <c r="C21" s="10">
        <v>11342286.1032768</v>
      </c>
      <c r="D21" s="11" t="s">
        <v>3</v>
      </c>
      <c r="E21" s="1"/>
    </row>
    <row r="22" spans="1:5" x14ac:dyDescent="0.25">
      <c r="A22" s="1"/>
      <c r="B22" s="52" t="s">
        <v>75</v>
      </c>
      <c r="C22" s="53"/>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3" t="s">
        <v>76</v>
      </c>
      <c r="C27" s="57">
        <v>0</v>
      </c>
      <c r="D27" s="11" t="s">
        <v>3</v>
      </c>
      <c r="E27" s="1"/>
    </row>
    <row r="28" spans="1:5" x14ac:dyDescent="0.25">
      <c r="A28" s="1"/>
      <c r="B28" s="26" t="s">
        <v>117</v>
      </c>
      <c r="C28" s="53"/>
      <c r="D28" s="19"/>
      <c r="E28" s="1"/>
    </row>
    <row r="29" spans="1:5" x14ac:dyDescent="0.25">
      <c r="A29" s="1"/>
      <c r="B29" s="72" t="s">
        <v>118</v>
      </c>
      <c r="C29" s="10">
        <v>0</v>
      </c>
      <c r="D29" s="11" t="s">
        <v>3</v>
      </c>
      <c r="E29" s="1"/>
    </row>
    <row r="30" spans="1:5" x14ac:dyDescent="0.25">
      <c r="A30" s="1"/>
      <c r="B30" s="26" t="s">
        <v>138</v>
      </c>
      <c r="C30" s="53"/>
      <c r="D30" s="19"/>
      <c r="E30" s="1"/>
    </row>
    <row r="31" spans="1:5" x14ac:dyDescent="0.25">
      <c r="A31" s="1"/>
      <c r="B31" s="72" t="s">
        <v>139</v>
      </c>
      <c r="C31" s="10">
        <v>0</v>
      </c>
      <c r="D31" s="11" t="s">
        <v>3</v>
      </c>
      <c r="E31" s="1"/>
    </row>
    <row r="32" spans="1:5" x14ac:dyDescent="0.25">
      <c r="A32" s="1"/>
      <c r="B32" s="52" t="s">
        <v>239</v>
      </c>
      <c r="C32" s="33">
        <v>26805435.40323855</v>
      </c>
      <c r="D32" s="19" t="s">
        <v>3</v>
      </c>
      <c r="E32" s="1"/>
    </row>
    <row r="33" spans="1:5" ht="30" customHeight="1" x14ac:dyDescent="0.25">
      <c r="A33" s="1"/>
      <c r="B33" s="99" t="s">
        <v>240</v>
      </c>
      <c r="C33" s="99"/>
      <c r="D33" s="9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eL8XqcFZMp5vuZ9UEpKd/79xT67YlUG+KFvQex2sOIcs4gzuWOd1b3rgUlf4PPujt0zSHuPIaPX0zZ6BGdgqfA==" saltValue="oQX+QaXayebmGi5YSpvppA=="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85" zoomScaleNormal="100" zoomScalePageLayoutView="85"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0" t="s">
        <v>90</v>
      </c>
      <c r="C1" s="100"/>
      <c r="D1" s="100"/>
      <c r="E1" s="100"/>
      <c r="F1" s="100"/>
      <c r="G1" s="100"/>
      <c r="H1" s="100"/>
      <c r="I1" s="1"/>
    </row>
    <row r="2" spans="1:9" ht="15" customHeight="1" x14ac:dyDescent="0.25">
      <c r="A2" s="1"/>
      <c r="B2" s="100"/>
      <c r="C2" s="100"/>
      <c r="D2" s="100"/>
      <c r="E2" s="100"/>
      <c r="F2" s="100"/>
      <c r="G2" s="100"/>
      <c r="H2" s="100"/>
      <c r="I2" s="1"/>
    </row>
    <row r="3" spans="1:9" ht="15" customHeight="1" x14ac:dyDescent="0.25">
      <c r="A3" s="1"/>
      <c r="B3" s="100"/>
      <c r="C3" s="100"/>
      <c r="D3" s="100"/>
      <c r="E3" s="100"/>
      <c r="F3" s="100"/>
      <c r="G3" s="100"/>
      <c r="H3" s="100"/>
      <c r="I3" s="1"/>
    </row>
    <row r="4" spans="1:9" x14ac:dyDescent="0.25">
      <c r="A4" s="1"/>
      <c r="B4" s="107" t="s">
        <v>44</v>
      </c>
      <c r="C4" s="108"/>
      <c r="D4" s="108"/>
      <c r="E4" s="108"/>
      <c r="F4" s="108"/>
      <c r="G4" s="108"/>
      <c r="H4" s="109"/>
      <c r="I4" s="1"/>
    </row>
    <row r="5" spans="1:9" x14ac:dyDescent="0.25">
      <c r="A5" s="1"/>
      <c r="B5" s="101" t="s">
        <v>36</v>
      </c>
      <c r="C5" s="102"/>
      <c r="D5" s="102"/>
      <c r="E5" s="102"/>
      <c r="F5" s="103"/>
      <c r="G5" s="47">
        <v>5577277.026705266</v>
      </c>
      <c r="H5" s="14" t="s">
        <v>3</v>
      </c>
      <c r="I5" s="1"/>
    </row>
    <row r="6" spans="1:9" x14ac:dyDescent="0.25">
      <c r="A6" s="1"/>
      <c r="B6" s="101" t="s">
        <v>37</v>
      </c>
      <c r="C6" s="102"/>
      <c r="D6" s="102"/>
      <c r="E6" s="102"/>
      <c r="F6" s="103"/>
      <c r="G6" s="22">
        <f>G5*'Fane 13. Nøgletal'!C33</f>
        <v>111545.54053410533</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107" t="s">
        <v>45</v>
      </c>
      <c r="C9" s="108"/>
      <c r="D9" s="108"/>
      <c r="E9" s="108"/>
      <c r="F9" s="108"/>
      <c r="G9" s="108"/>
      <c r="H9" s="109"/>
      <c r="I9" s="1"/>
    </row>
    <row r="10" spans="1:9" x14ac:dyDescent="0.25">
      <c r="A10" s="1"/>
      <c r="B10" s="101" t="s">
        <v>38</v>
      </c>
      <c r="C10" s="102"/>
      <c r="D10" s="102"/>
      <c r="E10" s="102"/>
      <c r="F10" s="103"/>
      <c r="G10" s="22">
        <f>(G5-G6)*(1+'Fane 13. Nøgletal'!C9)</f>
        <v>5535146.2760455338</v>
      </c>
      <c r="H10" s="14" t="s">
        <v>3</v>
      </c>
      <c r="I10" s="1"/>
    </row>
    <row r="11" spans="1:9" x14ac:dyDescent="0.25">
      <c r="A11" s="1"/>
      <c r="B11" s="104" t="s">
        <v>228</v>
      </c>
      <c r="C11" s="105"/>
      <c r="D11" s="105"/>
      <c r="E11" s="105"/>
      <c r="F11" s="106"/>
      <c r="G11" s="47">
        <v>0</v>
      </c>
      <c r="H11" s="14" t="s">
        <v>3</v>
      </c>
      <c r="I11" s="1"/>
    </row>
    <row r="12" spans="1:9" x14ac:dyDescent="0.25">
      <c r="A12" s="1"/>
      <c r="B12" s="101" t="s">
        <v>39</v>
      </c>
      <c r="C12" s="102"/>
      <c r="D12" s="102"/>
      <c r="E12" s="102"/>
      <c r="F12" s="103"/>
      <c r="G12" s="22">
        <f>(G10+G11)*'Fane 13. Nøgletal'!C33</f>
        <v>110702.92552091068</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107" t="s">
        <v>46</v>
      </c>
      <c r="C15" s="108"/>
      <c r="D15" s="108"/>
      <c r="E15" s="108"/>
      <c r="F15" s="108"/>
      <c r="G15" s="108"/>
      <c r="H15" s="109"/>
      <c r="I15" s="1"/>
    </row>
    <row r="16" spans="1:9" x14ac:dyDescent="0.25">
      <c r="A16" s="1"/>
      <c r="B16" s="101" t="s">
        <v>40</v>
      </c>
      <c r="C16" s="102"/>
      <c r="D16" s="102"/>
      <c r="E16" s="102"/>
      <c r="F16" s="103"/>
      <c r="G16" s="22">
        <f>(G10+G11-G12)*(1+'Fane 13. Nøgletal'!C11)</f>
        <v>5516116.4431484882</v>
      </c>
      <c r="H16" s="14" t="s">
        <v>3</v>
      </c>
      <c r="I16" s="1"/>
    </row>
    <row r="17" spans="1:9" x14ac:dyDescent="0.25">
      <c r="A17" s="1"/>
      <c r="B17" s="101" t="s">
        <v>100</v>
      </c>
      <c r="C17" s="102"/>
      <c r="D17" s="102"/>
      <c r="E17" s="102"/>
      <c r="F17" s="103"/>
      <c r="G17" s="47">
        <v>187.03322360885994</v>
      </c>
      <c r="H17" s="14" t="s">
        <v>3</v>
      </c>
      <c r="I17" s="1"/>
    </row>
    <row r="18" spans="1:9" x14ac:dyDescent="0.25">
      <c r="A18" s="1"/>
      <c r="B18" s="104" t="s">
        <v>229</v>
      </c>
      <c r="C18" s="105"/>
      <c r="D18" s="105"/>
      <c r="E18" s="105"/>
      <c r="F18" s="106"/>
      <c r="G18" s="47">
        <v>0</v>
      </c>
      <c r="H18" s="14" t="s">
        <v>3</v>
      </c>
      <c r="I18" s="1"/>
    </row>
    <row r="19" spans="1:9" x14ac:dyDescent="0.25">
      <c r="A19" s="1"/>
      <c r="B19" s="101" t="s">
        <v>41</v>
      </c>
      <c r="C19" s="102"/>
      <c r="D19" s="102"/>
      <c r="E19" s="102"/>
      <c r="F19" s="103"/>
      <c r="G19" s="22">
        <f>SUM(G16:G18)*'Fane 13. Nøgletal'!C33</f>
        <v>110326.06952744194</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107" t="s">
        <v>47</v>
      </c>
      <c r="C22" s="108"/>
      <c r="D22" s="108"/>
      <c r="E22" s="108"/>
      <c r="F22" s="108"/>
      <c r="G22" s="108"/>
      <c r="H22" s="109"/>
      <c r="I22" s="1"/>
    </row>
    <row r="23" spans="1:9" x14ac:dyDescent="0.25">
      <c r="A23" s="1"/>
      <c r="B23" s="101" t="s">
        <v>42</v>
      </c>
      <c r="C23" s="102"/>
      <c r="D23" s="102"/>
      <c r="E23" s="102"/>
      <c r="F23" s="103"/>
      <c r="G23" s="22">
        <f>(SUM(G16:G18)-G19)*(1+'Fane 13. Nøgletal'!C11)</f>
        <v>5497338.4250203297</v>
      </c>
      <c r="H23" s="14" t="s">
        <v>3</v>
      </c>
      <c r="I23" s="1"/>
    </row>
    <row r="24" spans="1:9" x14ac:dyDescent="0.25">
      <c r="A24" s="1"/>
      <c r="B24" s="104" t="s">
        <v>230</v>
      </c>
      <c r="C24" s="105"/>
      <c r="D24" s="105"/>
      <c r="E24" s="105"/>
      <c r="F24" s="106"/>
      <c r="G24" s="47">
        <v>0</v>
      </c>
      <c r="H24" s="14" t="s">
        <v>3</v>
      </c>
      <c r="I24" s="1"/>
    </row>
    <row r="25" spans="1:9" x14ac:dyDescent="0.25">
      <c r="A25" s="1"/>
      <c r="B25" s="101" t="s">
        <v>43</v>
      </c>
      <c r="C25" s="102"/>
      <c r="D25" s="102"/>
      <c r="E25" s="102"/>
      <c r="F25" s="103"/>
      <c r="G25" s="22">
        <f>(G23+G24)*'Fane 13. Nøgletal'!C33</f>
        <v>109946.7685004066</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107" t="s">
        <v>121</v>
      </c>
      <c r="C28" s="108"/>
      <c r="D28" s="108"/>
      <c r="E28" s="108"/>
      <c r="F28" s="108"/>
      <c r="G28" s="108"/>
      <c r="H28" s="109"/>
      <c r="I28" s="1"/>
    </row>
    <row r="29" spans="1:9" x14ac:dyDescent="0.25">
      <c r="A29" s="1"/>
      <c r="B29" s="101" t="s">
        <v>50</v>
      </c>
      <c r="C29" s="102"/>
      <c r="D29" s="102"/>
      <c r="E29" s="102"/>
      <c r="F29" s="103"/>
      <c r="G29" s="22">
        <f>(G23+G24-G25)*(1+'Fane 13. Nøgletal'!C13)</f>
        <v>5453117.8347294666</v>
      </c>
      <c r="H29" s="14" t="s">
        <v>3</v>
      </c>
      <c r="I29" s="1"/>
    </row>
    <row r="30" spans="1:9" x14ac:dyDescent="0.25">
      <c r="A30" s="1"/>
      <c r="B30" s="101" t="s">
        <v>231</v>
      </c>
      <c r="C30" s="102"/>
      <c r="D30" s="102"/>
      <c r="E30" s="102"/>
      <c r="F30" s="103"/>
      <c r="G30" s="47">
        <v>116085.48176736</v>
      </c>
      <c r="H30" s="14" t="s">
        <v>3</v>
      </c>
      <c r="I30" s="1"/>
    </row>
    <row r="31" spans="1:9" x14ac:dyDescent="0.25">
      <c r="A31" s="1"/>
      <c r="B31" s="101" t="s">
        <v>115</v>
      </c>
      <c r="C31" s="102"/>
      <c r="D31" s="102"/>
      <c r="E31" s="102"/>
      <c r="F31" s="103"/>
      <c r="G31" s="22">
        <f>(G29+G30)*'Fane 13. Nøgletal'!C33</f>
        <v>111384.06632993654</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107" t="s">
        <v>122</v>
      </c>
      <c r="C34" s="108"/>
      <c r="D34" s="108"/>
      <c r="E34" s="108"/>
      <c r="F34" s="108"/>
      <c r="G34" s="108"/>
      <c r="H34" s="109"/>
      <c r="I34" s="1"/>
    </row>
    <row r="35" spans="1:9" x14ac:dyDescent="0.25">
      <c r="A35" s="1"/>
      <c r="B35" s="101" t="s">
        <v>69</v>
      </c>
      <c r="C35" s="102"/>
      <c r="D35" s="102"/>
      <c r="E35" s="102"/>
      <c r="F35" s="103"/>
      <c r="G35" s="22">
        <f>(G29+G30-G31)*(1+'Fane 13. Nøgletal'!C13)</f>
        <v>5524404.6450189259</v>
      </c>
      <c r="H35" s="14" t="s">
        <v>3</v>
      </c>
      <c r="I35" s="1"/>
    </row>
    <row r="36" spans="1:9" x14ac:dyDescent="0.25">
      <c r="A36" s="1"/>
      <c r="B36" s="101" t="s">
        <v>232</v>
      </c>
      <c r="C36" s="102"/>
      <c r="D36" s="102"/>
      <c r="E36" s="102"/>
      <c r="F36" s="103"/>
      <c r="G36" s="47">
        <v>711090.06491380022</v>
      </c>
      <c r="H36" s="14" t="s">
        <v>3</v>
      </c>
      <c r="I36" s="1"/>
    </row>
    <row r="37" spans="1:9" x14ac:dyDescent="0.25">
      <c r="A37" s="1"/>
      <c r="B37" s="101" t="s">
        <v>123</v>
      </c>
      <c r="C37" s="102"/>
      <c r="D37" s="102"/>
      <c r="E37" s="102"/>
      <c r="F37" s="103"/>
      <c r="G37" s="22">
        <f>(G35+G36)*'Fane 13. Nøgletal'!C33</f>
        <v>124709.89419865453</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107" t="s">
        <v>157</v>
      </c>
      <c r="C40" s="108"/>
      <c r="D40" s="108"/>
      <c r="E40" s="108"/>
      <c r="F40" s="108"/>
      <c r="G40" s="108"/>
      <c r="H40" s="109"/>
      <c r="I40" s="1"/>
    </row>
    <row r="41" spans="1:9" x14ac:dyDescent="0.25">
      <c r="A41" s="1"/>
      <c r="B41" s="101" t="s">
        <v>68</v>
      </c>
      <c r="C41" s="102"/>
      <c r="D41" s="102"/>
      <c r="E41" s="102"/>
      <c r="F41" s="103"/>
      <c r="G41" s="22">
        <f>(G35+G36-G37)*(1+'Fane 13. Nøgletal'!C15)</f>
        <v>6328328.7551742047</v>
      </c>
      <c r="H41" s="14" t="s">
        <v>3</v>
      </c>
      <c r="I41" s="1"/>
    </row>
    <row r="42" spans="1:9" x14ac:dyDescent="0.25">
      <c r="A42" s="1"/>
      <c r="B42" s="101" t="s">
        <v>156</v>
      </c>
      <c r="C42" s="102"/>
      <c r="D42" s="102"/>
      <c r="E42" s="102"/>
      <c r="F42" s="103"/>
      <c r="G42" s="22">
        <v>173633.53805136002</v>
      </c>
      <c r="H42" s="14" t="s">
        <v>3</v>
      </c>
      <c r="I42" s="1"/>
    </row>
    <row r="43" spans="1:9" x14ac:dyDescent="0.25">
      <c r="A43" s="1"/>
      <c r="B43" s="101" t="s">
        <v>166</v>
      </c>
      <c r="C43" s="102"/>
      <c r="D43" s="102"/>
      <c r="E43" s="102"/>
      <c r="F43" s="103"/>
      <c r="G43" s="22">
        <f>(G41+G42)*'Fane 13. Nøgletal'!C33</f>
        <v>130039.24586451131</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107" t="s">
        <v>158</v>
      </c>
      <c r="C46" s="108"/>
      <c r="D46" s="108"/>
      <c r="E46" s="108"/>
      <c r="F46" s="108"/>
      <c r="G46" s="108"/>
      <c r="H46" s="109"/>
      <c r="I46" s="1"/>
    </row>
    <row r="47" spans="1:9" x14ac:dyDescent="0.25">
      <c r="A47" s="1"/>
      <c r="B47" s="101" t="s">
        <v>112</v>
      </c>
      <c r="C47" s="102"/>
      <c r="D47" s="102"/>
      <c r="E47" s="102"/>
      <c r="F47" s="103"/>
      <c r="G47" s="22">
        <f>(G41+G42-G43)*(1+'Fane 13. Nøgletal'!C15)</f>
        <v>6598763.5078471079</v>
      </c>
      <c r="H47" s="14" t="s">
        <v>3</v>
      </c>
      <c r="I47" s="1"/>
    </row>
    <row r="48" spans="1:9" x14ac:dyDescent="0.25">
      <c r="A48" s="1"/>
      <c r="B48" s="101" t="s">
        <v>206</v>
      </c>
      <c r="C48" s="102"/>
      <c r="D48" s="102"/>
      <c r="E48" s="102"/>
      <c r="F48" s="103"/>
      <c r="G48" s="22">
        <f>('Fane 2.1. Økonomisk ramme 2024'!C9+'Fane 2.1. Økonomisk ramme 2024'!C11+'Fane 2.1. Økonomisk ramme 2024'!C13)*(1+'Fane 13. Nøgletal'!C16)</f>
        <v>614124.94242176006</v>
      </c>
      <c r="H48" s="14" t="s">
        <v>3</v>
      </c>
      <c r="I48" s="1"/>
    </row>
    <row r="49" spans="1:9" x14ac:dyDescent="0.25">
      <c r="A49" s="1"/>
      <c r="B49" s="101" t="s">
        <v>167</v>
      </c>
      <c r="C49" s="102"/>
      <c r="D49" s="102"/>
      <c r="E49" s="102"/>
      <c r="F49" s="103"/>
      <c r="G49" s="22">
        <f>G47*'Fane 13. Nøgletal'!C33+G48*'Fane 13. Nøgletal'!C33</f>
        <v>144257.76900537737</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107" t="s">
        <v>133</v>
      </c>
      <c r="C52" s="108"/>
      <c r="D52" s="108"/>
      <c r="E52" s="108"/>
      <c r="F52" s="108"/>
      <c r="G52" s="108"/>
      <c r="H52" s="109"/>
      <c r="I52" s="1"/>
    </row>
    <row r="53" spans="1:9" x14ac:dyDescent="0.25">
      <c r="A53" s="1"/>
      <c r="B53" s="101" t="s">
        <v>134</v>
      </c>
      <c r="C53" s="102"/>
      <c r="D53" s="102"/>
      <c r="E53" s="102"/>
      <c r="F53" s="103"/>
      <c r="G53" s="22">
        <f>(G47+G48-G49)*(1+'Fane 13. Nøgletal'!C16)</f>
        <v>7639776.04030958</v>
      </c>
      <c r="H53" s="14" t="s">
        <v>3</v>
      </c>
      <c r="I53" s="1"/>
    </row>
    <row r="54" spans="1:9" x14ac:dyDescent="0.25">
      <c r="A54" s="1"/>
      <c r="B54" s="101" t="s">
        <v>135</v>
      </c>
      <c r="C54" s="102"/>
      <c r="D54" s="102"/>
      <c r="E54" s="102"/>
      <c r="F54" s="103"/>
      <c r="G54" s="22">
        <f>(G53)*'Fane 13. Nøgletal'!C33</f>
        <v>152795.52080619161</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107" t="s">
        <v>144</v>
      </c>
      <c r="C57" s="108"/>
      <c r="D57" s="108"/>
      <c r="E57" s="108"/>
      <c r="F57" s="108"/>
      <c r="G57" s="108"/>
      <c r="H57" s="109"/>
      <c r="I57" s="1"/>
    </row>
    <row r="58" spans="1:9" x14ac:dyDescent="0.25">
      <c r="A58" s="1"/>
      <c r="B58" s="101" t="s">
        <v>145</v>
      </c>
      <c r="C58" s="102"/>
      <c r="D58" s="102"/>
      <c r="E58" s="102"/>
      <c r="F58" s="103"/>
      <c r="G58" s="22">
        <f>(G53-G54)*(1+'Fane 13. Nøgletal'!C16)</f>
        <v>8091928.5454792622</v>
      </c>
      <c r="H58" s="14" t="s">
        <v>3</v>
      </c>
      <c r="I58" s="1"/>
    </row>
    <row r="59" spans="1:9" x14ac:dyDescent="0.25">
      <c r="A59" s="1"/>
      <c r="B59" s="101" t="s">
        <v>146</v>
      </c>
      <c r="C59" s="102"/>
      <c r="D59" s="102"/>
      <c r="E59" s="102"/>
      <c r="F59" s="103"/>
      <c r="G59" s="22">
        <f>(G58)*'Fane 13. Nøgletal'!C33</f>
        <v>161838.57090958525</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107" t="s">
        <v>220</v>
      </c>
      <c r="C62" s="108"/>
      <c r="D62" s="108"/>
      <c r="E62" s="108"/>
      <c r="F62" s="108"/>
      <c r="G62" s="108"/>
      <c r="H62" s="109"/>
      <c r="I62" s="1"/>
    </row>
    <row r="63" spans="1:9" x14ac:dyDescent="0.25">
      <c r="A63" s="1"/>
      <c r="B63" s="101" t="s">
        <v>221</v>
      </c>
      <c r="C63" s="102"/>
      <c r="D63" s="102"/>
      <c r="E63" s="102"/>
      <c r="F63" s="103"/>
      <c r="G63" s="22">
        <f>(G58-G59)*(1+'Fane 13. Nøgletal'!C16)</f>
        <v>8570841.2445149068</v>
      </c>
      <c r="H63" s="14" t="s">
        <v>3</v>
      </c>
      <c r="I63" s="1"/>
    </row>
    <row r="64" spans="1:9" x14ac:dyDescent="0.25">
      <c r="A64" s="1"/>
      <c r="B64" s="101" t="s">
        <v>222</v>
      </c>
      <c r="C64" s="102"/>
      <c r="D64" s="102"/>
      <c r="E64" s="102"/>
      <c r="F64" s="103"/>
      <c r="G64" s="22">
        <f>(G63)*'Fane 13. Nøgletal'!C33</f>
        <v>171416.82489029813</v>
      </c>
      <c r="H64" s="14" t="s">
        <v>3</v>
      </c>
      <c r="I64" s="1"/>
    </row>
    <row r="65" spans="1:9" x14ac:dyDescent="0.25">
      <c r="A65" s="1"/>
      <c r="B65" s="52"/>
      <c r="C65" s="53"/>
      <c r="D65" s="53"/>
      <c r="E65" s="53"/>
      <c r="F65" s="53"/>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mGolQGceA0efiGx7mqC/eviMnRPkb47R8kDCs4ykdh3JOAFwB35tQsxaRtK2AQDjC4E4fypFN0KgJtiRdYp2jQ==" saltValue="yTHazcu0XsXGipdFMDKLjg=="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85" zoomScaleNormal="120" zoomScalePageLayoutView="85"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0" t="s">
        <v>91</v>
      </c>
      <c r="C1" s="111"/>
      <c r="D1" s="111"/>
      <c r="E1" s="111"/>
      <c r="F1" s="111"/>
      <c r="G1" s="111"/>
      <c r="H1" s="111"/>
      <c r="I1" s="1"/>
    </row>
    <row r="2" spans="1:9" ht="19.899999999999999" customHeight="1" x14ac:dyDescent="0.25">
      <c r="A2" s="1"/>
      <c r="B2" s="111"/>
      <c r="C2" s="111"/>
      <c r="D2" s="111"/>
      <c r="E2" s="111"/>
      <c r="F2" s="111"/>
      <c r="G2" s="111"/>
      <c r="H2" s="111"/>
      <c r="I2" s="1"/>
    </row>
    <row r="3" spans="1:9" ht="15" customHeight="1" x14ac:dyDescent="0.25">
      <c r="A3" s="1"/>
      <c r="B3" s="112"/>
      <c r="C3" s="112"/>
      <c r="D3" s="112"/>
      <c r="E3" s="112"/>
      <c r="F3" s="112"/>
      <c r="G3" s="112"/>
      <c r="H3" s="112"/>
      <c r="I3" s="1"/>
    </row>
    <row r="4" spans="1:9" x14ac:dyDescent="0.25">
      <c r="A4" s="1"/>
      <c r="B4" s="107" t="s">
        <v>48</v>
      </c>
      <c r="C4" s="108"/>
      <c r="D4" s="108"/>
      <c r="E4" s="108"/>
      <c r="F4" s="108"/>
      <c r="G4" s="108"/>
      <c r="H4" s="109"/>
      <c r="I4" s="1"/>
    </row>
    <row r="5" spans="1:9" x14ac:dyDescent="0.25">
      <c r="A5" s="1"/>
      <c r="B5" s="101" t="s">
        <v>51</v>
      </c>
      <c r="C5" s="102"/>
      <c r="D5" s="102"/>
      <c r="E5" s="102"/>
      <c r="F5" s="103"/>
      <c r="G5" s="47">
        <v>7784275.0229191277</v>
      </c>
      <c r="H5" s="14" t="s">
        <v>3</v>
      </c>
      <c r="I5" s="1"/>
    </row>
    <row r="6" spans="1:9" x14ac:dyDescent="0.25">
      <c r="A6" s="1"/>
      <c r="B6" s="101" t="s">
        <v>49</v>
      </c>
      <c r="C6" s="102"/>
      <c r="D6" s="102"/>
      <c r="E6" s="102"/>
      <c r="F6" s="103"/>
      <c r="G6" s="22">
        <f>G5*'Fane 13. Nøgletal'!C21</f>
        <v>70836.90270856407</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107" t="s">
        <v>52</v>
      </c>
      <c r="C9" s="108"/>
      <c r="D9" s="108"/>
      <c r="E9" s="108"/>
      <c r="F9" s="108"/>
      <c r="G9" s="108"/>
      <c r="H9" s="109"/>
      <c r="I9" s="1"/>
    </row>
    <row r="10" spans="1:9" x14ac:dyDescent="0.25">
      <c r="A10" s="1"/>
      <c r="B10" s="101" t="s">
        <v>53</v>
      </c>
      <c r="C10" s="102"/>
      <c r="D10" s="102"/>
      <c r="E10" s="102"/>
      <c r="F10" s="103"/>
      <c r="G10" s="22">
        <f>(G5-G6)*(1+'Fane 13. Nøgletal'!C9)</f>
        <v>7811398.7843372375</v>
      </c>
      <c r="H10" s="14" t="s">
        <v>3</v>
      </c>
      <c r="I10" s="1"/>
    </row>
    <row r="11" spans="1:9" x14ac:dyDescent="0.25">
      <c r="A11" s="1"/>
      <c r="B11" s="104" t="s">
        <v>54</v>
      </c>
      <c r="C11" s="105"/>
      <c r="D11" s="105"/>
      <c r="E11" s="105"/>
      <c r="F11" s="106"/>
      <c r="G11" s="48">
        <v>0</v>
      </c>
      <c r="H11" s="14" t="s">
        <v>3</v>
      </c>
      <c r="I11" s="1"/>
    </row>
    <row r="12" spans="1:9" x14ac:dyDescent="0.25">
      <c r="A12" s="1"/>
      <c r="B12" s="101" t="s">
        <v>55</v>
      </c>
      <c r="C12" s="102"/>
      <c r="D12" s="102"/>
      <c r="E12" s="102"/>
      <c r="F12" s="103"/>
      <c r="G12" s="22">
        <f>G10*'Fane 13. Nøgletal'!C21+G11*'Fane 13. Nøgletal'!C22</f>
        <v>71083.72893746887</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107" t="s">
        <v>56</v>
      </c>
      <c r="C15" s="108"/>
      <c r="D15" s="108"/>
      <c r="E15" s="108"/>
      <c r="F15" s="108"/>
      <c r="G15" s="108"/>
      <c r="H15" s="109"/>
      <c r="I15" s="1"/>
    </row>
    <row r="16" spans="1:9" x14ac:dyDescent="0.25">
      <c r="A16" s="1"/>
      <c r="B16" s="101" t="s">
        <v>57</v>
      </c>
      <c r="C16" s="102"/>
      <c r="D16" s="102"/>
      <c r="E16" s="102"/>
      <c r="F16" s="103"/>
      <c r="G16" s="22">
        <f>(G10+G11-G12)*(1+'Fane 13. Nøgletal'!C11)</f>
        <v>7871126.3798360247</v>
      </c>
      <c r="H16" s="14" t="s">
        <v>3</v>
      </c>
      <c r="I16" s="1"/>
    </row>
    <row r="17" spans="1:9" x14ac:dyDescent="0.25">
      <c r="A17" s="1"/>
      <c r="B17" s="101" t="s">
        <v>101</v>
      </c>
      <c r="C17" s="102"/>
      <c r="D17" s="102"/>
      <c r="E17" s="102"/>
      <c r="F17" s="103"/>
      <c r="G17" s="47">
        <v>145226.58795668685</v>
      </c>
      <c r="H17" s="14" t="s">
        <v>3</v>
      </c>
      <c r="I17" s="1"/>
    </row>
    <row r="18" spans="1:9" x14ac:dyDescent="0.25">
      <c r="A18" s="1"/>
      <c r="B18" s="104" t="s">
        <v>58</v>
      </c>
      <c r="C18" s="105"/>
      <c r="D18" s="105"/>
      <c r="E18" s="105"/>
      <c r="F18" s="106"/>
      <c r="G18" s="47">
        <v>0</v>
      </c>
      <c r="H18" s="14" t="s">
        <v>3</v>
      </c>
      <c r="I18" s="1"/>
    </row>
    <row r="19" spans="1:9" x14ac:dyDescent="0.25">
      <c r="A19" s="1"/>
      <c r="B19" s="101" t="s">
        <v>59</v>
      </c>
      <c r="C19" s="102"/>
      <c r="D19" s="102"/>
      <c r="E19" s="102"/>
      <c r="F19" s="103"/>
      <c r="G19" s="22">
        <f>(G16+G17+G18)*'Fane 13. Nøgletal'!C23</f>
        <v>69742.270819796584</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107" t="s">
        <v>60</v>
      </c>
      <c r="C22" s="108"/>
      <c r="D22" s="108"/>
      <c r="E22" s="108"/>
      <c r="F22" s="108"/>
      <c r="G22" s="108"/>
      <c r="H22" s="109"/>
      <c r="I22" s="1"/>
    </row>
    <row r="23" spans="1:9" x14ac:dyDescent="0.25">
      <c r="A23" s="1"/>
      <c r="B23" s="101" t="s">
        <v>61</v>
      </c>
      <c r="C23" s="102"/>
      <c r="D23" s="102"/>
      <c r="E23" s="102"/>
      <c r="F23" s="103"/>
      <c r="G23" s="22">
        <f>(SUM(G16:G18)-G19)*(1+'Fane 13. Nøgletal'!C11)</f>
        <v>8080908.4177517565</v>
      </c>
      <c r="H23" s="14" t="s">
        <v>3</v>
      </c>
      <c r="I23" s="1"/>
    </row>
    <row r="24" spans="1:9" x14ac:dyDescent="0.25">
      <c r="A24" s="1"/>
      <c r="B24" s="104" t="s">
        <v>62</v>
      </c>
      <c r="C24" s="105"/>
      <c r="D24" s="105"/>
      <c r="E24" s="105"/>
      <c r="F24" s="106"/>
      <c r="G24" s="47">
        <v>0</v>
      </c>
      <c r="H24" s="14" t="s">
        <v>3</v>
      </c>
      <c r="I24" s="1"/>
    </row>
    <row r="25" spans="1:9" x14ac:dyDescent="0.25">
      <c r="A25" s="1"/>
      <c r="B25" s="101" t="s">
        <v>63</v>
      </c>
      <c r="C25" s="102"/>
      <c r="D25" s="102"/>
      <c r="E25" s="102"/>
      <c r="F25" s="103"/>
      <c r="G25" s="22">
        <f>G23*'Fane 13. Nøgletal'!C23+G24*'Fane 13. Nøgletal'!C24</f>
        <v>70303.90323444028</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107" t="s">
        <v>119</v>
      </c>
      <c r="C28" s="108"/>
      <c r="D28" s="108"/>
      <c r="E28" s="108"/>
      <c r="F28" s="108"/>
      <c r="G28" s="108"/>
      <c r="H28" s="109"/>
      <c r="I28" s="1"/>
    </row>
    <row r="29" spans="1:9" x14ac:dyDescent="0.25">
      <c r="A29" s="1"/>
      <c r="B29" s="101" t="s">
        <v>64</v>
      </c>
      <c r="C29" s="102"/>
      <c r="D29" s="102"/>
      <c r="E29" s="102"/>
      <c r="F29" s="103"/>
      <c r="G29" s="22">
        <f>(G23+G24-G25)*(1+'Fane 13. Nøgletal'!C13)</f>
        <v>8108333.8895944273</v>
      </c>
      <c r="H29" s="14" t="s">
        <v>3</v>
      </c>
      <c r="I29" s="1"/>
    </row>
    <row r="30" spans="1:9" x14ac:dyDescent="0.25">
      <c r="A30" s="1"/>
      <c r="B30" s="101" t="s">
        <v>113</v>
      </c>
      <c r="C30" s="102"/>
      <c r="D30" s="102"/>
      <c r="E30" s="102"/>
      <c r="F30" s="103"/>
      <c r="G30" s="47">
        <v>6816.3234325199992</v>
      </c>
      <c r="H30" s="14" t="s">
        <v>3</v>
      </c>
      <c r="I30" s="1"/>
    </row>
    <row r="31" spans="1:9" x14ac:dyDescent="0.25">
      <c r="A31" s="1"/>
      <c r="B31" s="101" t="s">
        <v>120</v>
      </c>
      <c r="C31" s="102"/>
      <c r="D31" s="102"/>
      <c r="E31" s="102"/>
      <c r="F31" s="103"/>
      <c r="G31" s="22">
        <f>(G29+G30)*'Fane 13. Nøgletal'!C25</f>
        <v>223166.63085824106</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107" t="s">
        <v>124</v>
      </c>
      <c r="C34" s="108"/>
      <c r="D34" s="108"/>
      <c r="E34" s="108"/>
      <c r="F34" s="108"/>
      <c r="G34" s="108"/>
      <c r="H34" s="109"/>
      <c r="I34" s="1"/>
    </row>
    <row r="35" spans="1:9" x14ac:dyDescent="0.25">
      <c r="A35" s="1"/>
      <c r="B35" s="101" t="s">
        <v>67</v>
      </c>
      <c r="C35" s="102"/>
      <c r="D35" s="102"/>
      <c r="E35" s="102"/>
      <c r="F35" s="103"/>
      <c r="G35" s="22">
        <f>(G29+G30-G31)*(1+'Fane 13. Nøgletal'!C13)</f>
        <v>7988265.7818711651</v>
      </c>
      <c r="H35" s="14" t="s">
        <v>3</v>
      </c>
      <c r="I35" s="1"/>
    </row>
    <row r="36" spans="1:9" x14ac:dyDescent="0.25">
      <c r="A36" s="1"/>
      <c r="B36" s="101" t="s">
        <v>129</v>
      </c>
      <c r="C36" s="102"/>
      <c r="D36" s="102"/>
      <c r="E36" s="102"/>
      <c r="F36" s="103"/>
      <c r="G36" s="22">
        <v>761902.77603011008</v>
      </c>
      <c r="H36" s="14" t="s">
        <v>3</v>
      </c>
      <c r="I36" s="1"/>
    </row>
    <row r="37" spans="1:9" x14ac:dyDescent="0.25">
      <c r="A37" s="1"/>
      <c r="B37" s="101" t="s">
        <v>125</v>
      </c>
      <c r="C37" s="102"/>
      <c r="D37" s="102"/>
      <c r="E37" s="102"/>
      <c r="F37" s="103"/>
      <c r="G37" s="22">
        <f>G35*'Fane 13. Nøgletal'!C25+G36*'Fane 13. Nøgletal'!C26</f>
        <v>230953.47008670267</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107" t="s">
        <v>159</v>
      </c>
      <c r="C40" s="108"/>
      <c r="D40" s="108"/>
      <c r="E40" s="108"/>
      <c r="F40" s="108"/>
      <c r="G40" s="108"/>
      <c r="H40" s="109"/>
      <c r="I40" s="1"/>
    </row>
    <row r="41" spans="1:9" x14ac:dyDescent="0.25">
      <c r="A41" s="1"/>
      <c r="B41" s="101" t="s">
        <v>66</v>
      </c>
      <c r="C41" s="102"/>
      <c r="D41" s="102"/>
      <c r="E41" s="102"/>
      <c r="F41" s="103"/>
      <c r="G41" s="22">
        <f>(G35+G36-G37)*(1+'Fane 13. Nøgletal'!C15)</f>
        <v>8822499.1449407712</v>
      </c>
      <c r="H41" s="14" t="s">
        <v>3</v>
      </c>
      <c r="I41" s="1"/>
    </row>
    <row r="42" spans="1:9" x14ac:dyDescent="0.25">
      <c r="A42" s="1"/>
      <c r="B42" s="101" t="s">
        <v>169</v>
      </c>
      <c r="C42" s="102"/>
      <c r="D42" s="102"/>
      <c r="E42" s="102"/>
      <c r="F42" s="103"/>
      <c r="G42" s="9">
        <v>487839.66284736007</v>
      </c>
      <c r="H42" s="14" t="s">
        <v>3</v>
      </c>
      <c r="I42" s="1"/>
    </row>
    <row r="43" spans="1:9" x14ac:dyDescent="0.25">
      <c r="A43" s="1"/>
      <c r="B43" s="101" t="s">
        <v>65</v>
      </c>
      <c r="C43" s="102"/>
      <c r="D43" s="102"/>
      <c r="E43" s="102"/>
      <c r="F43" s="103"/>
      <c r="G43" s="56">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107" t="s">
        <v>160</v>
      </c>
      <c r="C46" s="108"/>
      <c r="D46" s="108"/>
      <c r="E46" s="108"/>
      <c r="F46" s="108"/>
      <c r="G46" s="108"/>
      <c r="H46" s="109"/>
      <c r="I46" s="1"/>
    </row>
    <row r="47" spans="1:9" x14ac:dyDescent="0.25">
      <c r="A47" s="1"/>
      <c r="B47" s="101" t="s">
        <v>114</v>
      </c>
      <c r="C47" s="102"/>
      <c r="D47" s="102"/>
      <c r="E47" s="102"/>
      <c r="F47" s="103"/>
      <c r="G47" s="22">
        <f>(G41+G42-G43)*(1+'Fane 13. Nøgletal'!C15)</f>
        <v>9641786.8693453893</v>
      </c>
      <c r="H47" s="14" t="s">
        <v>3</v>
      </c>
      <c r="I47" s="1"/>
    </row>
    <row r="48" spans="1:9" x14ac:dyDescent="0.25">
      <c r="A48" s="1"/>
      <c r="B48" s="101" t="s">
        <v>210</v>
      </c>
      <c r="C48" s="102"/>
      <c r="D48" s="102"/>
      <c r="E48" s="102"/>
      <c r="F48" s="103"/>
      <c r="G48" s="22">
        <f>('Fane 2.1. Økonomisk ramme 2024'!C10+'Fane 2.1. Økonomisk ramme 2024'!C12+'Fane 2.1. Økonomisk ramme 2024'!C14)*(1+'Fane 13. Nøgletal'!C16)</f>
        <v>1963598.5450099199</v>
      </c>
      <c r="H48" s="14" t="s">
        <v>3</v>
      </c>
      <c r="I48" s="1"/>
    </row>
    <row r="49" spans="1:9" x14ac:dyDescent="0.25">
      <c r="A49" s="1"/>
      <c r="B49" s="101" t="s">
        <v>211</v>
      </c>
      <c r="C49" s="102"/>
      <c r="D49" s="102"/>
      <c r="E49" s="102"/>
      <c r="F49" s="103"/>
      <c r="G49" s="56">
        <f>(G47)*'Fane 13. Nøgletal'!C27+G48*'Fane 13. Nøgletal'!C28</f>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107" t="s">
        <v>130</v>
      </c>
      <c r="C52" s="108"/>
      <c r="D52" s="108"/>
      <c r="E52" s="108"/>
      <c r="F52" s="108"/>
      <c r="G52" s="108"/>
      <c r="H52" s="109"/>
      <c r="I52" s="1"/>
    </row>
    <row r="53" spans="1:9" x14ac:dyDescent="0.25">
      <c r="A53" s="1"/>
      <c r="B53" s="101" t="s">
        <v>131</v>
      </c>
      <c r="C53" s="102"/>
      <c r="D53" s="102"/>
      <c r="E53" s="102"/>
      <c r="F53" s="103"/>
      <c r="G53" s="22">
        <f>(G47+G48-G49)*(1+'Fane 13. Nøgletal'!C16)</f>
        <v>12543100.555835219</v>
      </c>
      <c r="H53" s="14" t="s">
        <v>3</v>
      </c>
      <c r="I53" s="1"/>
    </row>
    <row r="54" spans="1:9" x14ac:dyDescent="0.25">
      <c r="A54" s="1"/>
      <c r="B54" s="101" t="s">
        <v>132</v>
      </c>
      <c r="C54" s="102"/>
      <c r="D54" s="102"/>
      <c r="E54" s="102"/>
      <c r="F54" s="103"/>
      <c r="G54" s="56">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107" t="s">
        <v>147</v>
      </c>
      <c r="C57" s="108"/>
      <c r="D57" s="108"/>
      <c r="E57" s="108"/>
      <c r="F57" s="108"/>
      <c r="G57" s="108"/>
      <c r="H57" s="109"/>
      <c r="I57" s="1"/>
    </row>
    <row r="58" spans="1:9" x14ac:dyDescent="0.25">
      <c r="A58" s="1"/>
      <c r="B58" s="101" t="s">
        <v>148</v>
      </c>
      <c r="C58" s="102"/>
      <c r="D58" s="102"/>
      <c r="E58" s="102"/>
      <c r="F58" s="103"/>
      <c r="G58" s="22">
        <f>(G53-G54)*(1+'Fane 13. Nøgletal'!C16)</f>
        <v>13556583.080746705</v>
      </c>
      <c r="H58" s="14" t="s">
        <v>3</v>
      </c>
      <c r="I58" s="1"/>
    </row>
    <row r="59" spans="1:9" x14ac:dyDescent="0.25">
      <c r="A59" s="1"/>
      <c r="B59" s="101" t="s">
        <v>149</v>
      </c>
      <c r="C59" s="102"/>
      <c r="D59" s="102"/>
      <c r="E59" s="102"/>
      <c r="F59" s="103"/>
      <c r="G59" s="56">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107" t="s">
        <v>223</v>
      </c>
      <c r="C62" s="108"/>
      <c r="D62" s="108"/>
      <c r="E62" s="108"/>
      <c r="F62" s="108"/>
      <c r="G62" s="108"/>
      <c r="H62" s="109"/>
      <c r="I62" s="1"/>
    </row>
    <row r="63" spans="1:9" x14ac:dyDescent="0.25">
      <c r="A63" s="1"/>
      <c r="B63" s="101" t="s">
        <v>224</v>
      </c>
      <c r="C63" s="102"/>
      <c r="D63" s="102"/>
      <c r="E63" s="102"/>
      <c r="F63" s="103"/>
      <c r="G63" s="22">
        <f>(G58-G59)*(1+'Fane 13. Nøgletal'!C16)</f>
        <v>14651954.993671039</v>
      </c>
      <c r="H63" s="14" t="s">
        <v>3</v>
      </c>
      <c r="I63" s="1"/>
    </row>
    <row r="64" spans="1:9" x14ac:dyDescent="0.25">
      <c r="A64" s="1"/>
      <c r="B64" s="101" t="s">
        <v>225</v>
      </c>
      <c r="C64" s="102"/>
      <c r="D64" s="102"/>
      <c r="E64" s="102"/>
      <c r="F64" s="103"/>
      <c r="G64" s="56">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0FV5zTVf8Ahg5IPMr82YhmE7PmTwVZjoG0mB/LKSMyiL+TglAobNqmFZh+RSQY6C/Hg7AvMk0/5K0qmLNuLuCQ==" saltValue="+VstCoV86uBVZ2/q0y/m9A=="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85" zoomScaleNormal="100" zoomScalePageLayoutView="85"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7" t="s">
        <v>77</v>
      </c>
      <c r="C3" s="97"/>
      <c r="D3" s="97"/>
      <c r="E3" s="97"/>
      <c r="F3" s="97"/>
      <c r="G3" s="97"/>
      <c r="H3" s="1"/>
    </row>
    <row r="4" spans="1:8" ht="15" customHeight="1" x14ac:dyDescent="0.25">
      <c r="A4" s="1"/>
      <c r="B4" s="97"/>
      <c r="C4" s="97"/>
      <c r="D4" s="97"/>
      <c r="E4" s="97"/>
      <c r="F4" s="97"/>
      <c r="G4" s="9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7" t="s">
        <v>9</v>
      </c>
      <c r="C8" s="108"/>
      <c r="D8" s="108"/>
      <c r="E8" s="108"/>
      <c r="F8" s="108"/>
      <c r="G8" s="109"/>
      <c r="H8" s="1"/>
    </row>
    <row r="9" spans="1:8" x14ac:dyDescent="0.25">
      <c r="A9" s="1"/>
      <c r="B9" s="68" t="s">
        <v>150</v>
      </c>
      <c r="C9" s="69"/>
      <c r="D9" s="69"/>
      <c r="E9" s="69"/>
      <c r="F9" s="70"/>
      <c r="G9" s="51">
        <v>0</v>
      </c>
      <c r="H9" s="1"/>
    </row>
    <row r="10" spans="1:8" x14ac:dyDescent="0.25">
      <c r="A10" s="1"/>
      <c r="B10" s="52"/>
      <c r="C10" s="53"/>
      <c r="D10" s="53"/>
      <c r="E10" s="53"/>
      <c r="F10" s="53"/>
      <c r="G10" s="19"/>
      <c r="H10" s="1"/>
    </row>
    <row r="11" spans="1:8" ht="15" customHeight="1" x14ac:dyDescent="0.25">
      <c r="A11" s="1"/>
      <c r="B11" s="113" t="s">
        <v>236</v>
      </c>
      <c r="C11" s="114"/>
      <c r="D11" s="114"/>
      <c r="E11" s="114"/>
      <c r="F11" s="114"/>
      <c r="G11" s="115"/>
      <c r="H11" s="1"/>
    </row>
    <row r="12" spans="1:8" ht="13.5" customHeight="1" x14ac:dyDescent="0.25">
      <c r="A12" s="1"/>
      <c r="B12" s="116"/>
      <c r="C12" s="117"/>
      <c r="D12" s="117"/>
      <c r="E12" s="117"/>
      <c r="F12" s="117"/>
      <c r="G12" s="11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hN44r+8v8hxA+sV/I+L0PfRQPDPrfWUmkqHAWxwbBiDxAjwbx+NKOa5VyYrjkM0DUhVA5oibXGdBNb6+FS6A9Q==" saltValue="LiGySakq7895WROVwgdBeg=="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2023-10-05T07:59:03Z</dcterms:modified>
</cp:coreProperties>
</file>