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lemensker Vandværk (V11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<sst xmlns="http://schemas.openxmlformats.org/spreadsheetml/2006/main" count="412" uniqueCount="159">
  <si>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</si>
  <si>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</si>
  <si>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</si>
  <si>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</si>
  <si>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</si>
  <si>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</si>
  <si>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</si>
  <si>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</si>
  <si>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</si>
  <si>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</si>
  <si>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</si>
  <si>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</si>
  <si>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</si>
  <si>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</si>
  <si>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</si>
  <si>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</si>
  <si>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</si>
  <si>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</si>
  <si>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</si>
  <si>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</si>
  <si>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</si>
  <si>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</si>
  <si>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</si>
  <si>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</si>
  <si>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</si>
  <si>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</si>
  <si>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</si>
  <si>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</si>
  <si>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</si>
  <si>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</si>
  <si>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</si>
  <si>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</si>
  <si>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</si>
  <si>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</si>
  <si>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</si>
  <si>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</si>
  <si>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</si>
  <si>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</si>
  <si>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</si>
  <si>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</si>
  <si>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</si>
  <si>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</si>
  <si>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</si>
  <si>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</si>
  <si>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</si>
  <si>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</si>
  <si>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</si>
  <si>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</si>
  <si>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</si>
  <si>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</si>
  <si>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</si>
  <si>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</si>
  <si>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</si>
  <si>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</si>
  <si>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</si>
  <si>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</si>
  <si>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</si>
  <si>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</si>
  <si>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</si>
  <si>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</si>
  <si>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</si>
  <si>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</si>
  <si>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</si>
  <si>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</si>
  <si>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</si>
  <si>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</si>
  <si>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</si>
  <si>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</si>
  <si>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</si>
  <si>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</si>
  <si>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</si>
  <si>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</si>
  <si>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</si>
  <si>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</si>
  <si>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</si>
  <si>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</si>
  <si>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</si>
  <si>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</si>
  <si>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</si>
  <si>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</si>
  <si>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</si>
  <si>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</si>
  <si>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</si>
  <si>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</si>
  <si>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</si>
  <si>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</si>
  <si>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</si>
  <si>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</si>
  <si>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</si>
  <si>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</si>
  <si>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</si>
  <si>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</si>
  <si>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</si>
  <si>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</si>
  <si>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</si>
  <si>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</si>
  <si>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</si>
  <si>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</si>
  <si>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</si>
  <si>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</si>
  <si>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</si>
  <si>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</si>
  <si>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</si>
  <si>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</si>
  <si>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</si>
  <si>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</si>
  <si>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</si>
  <si>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</si>
  <si>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</si>
  <si>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</si>
  <si>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</si>
  <si>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</si>
  <si>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</si>
  <si>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</si>
  <si>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</si>
  <si>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</si>
  <si>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</si>
  <si>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</si>
  <si>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</si>
  <si>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</si>
  <si>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</si>
  <si>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</si>
  <si>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</si>
  <si>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</si>
  <si>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</si>
  <si>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</si>
  <si>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</si>
  <si>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</si>
  <si>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</si>
  <si>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</si>
  <si>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</si>
  <si>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</si>
  <si>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</si>
  <si>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</si>
  <si>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</si>
  <si>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</si>
  <si>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</si>
  <si>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</si>
  <si>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</si>
  <si>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</si>
  <si>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</si>
  <si>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</si>
  <si>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</si>
  <si>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</si>
  <si>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</si>
  <si>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</si>
  <si>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</si>
  <si>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</si>
  <si>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</si>
  <si>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</si>
  <si>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</si>
  <si>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</si>
  <si>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</si>
  <si>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</si>
  <si>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</si>
  <si>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</si>
  <si>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</si>
  <si>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engangstillæg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</si>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</sst>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2" t="s">
        <v>131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83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15</v>
      </c>
      <c r="D14" s="57" t="s">
        <v>132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37</v>
      </c>
      <c r="D15" s="57" t="s">
        <v>47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38</v>
      </c>
      <c r="D16" s="57" t="s">
        <v>84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79</v>
      </c>
      <c r="D17" s="57" t="s">
        <v>85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7</v>
      </c>
      <c r="D18" s="54" t="s">
        <v>12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86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74</v>
      </c>
      <c r="D20" s="48" t="s">
        <v>39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121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122</v>
      </c>
      <c r="D22" s="48" t="s">
        <v>52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123</v>
      </c>
      <c r="D23" s="48" t="s">
        <v>87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40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61</v>
      </c>
      <c r="D25" s="51" t="s">
        <v>75</v>
      </c>
      <c r="E25" s="52"/>
      <c r="F25" s="52"/>
      <c r="G25" s="5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3" t="s">
        <v>16</v>
      </c>
      <c r="C9" s="33" t="s">
        <v>11</v>
      </c>
      <c r="D9" s="34"/>
      <c r="E9" s="33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GNieNd1Rr8NU6RKXCzhI7uTT4TWBBK0bOIzTLwPoAwgbX7n20qeHrDVMeqwJN6uMYacZVDXkE1cD6+FALv44MQ==" saltValue="0ENUuz9WUvN5t9iqkXJ9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3" t="s">
        <v>16</v>
      </c>
      <c r="C9" s="33" t="s">
        <v>11</v>
      </c>
      <c r="D9" s="34"/>
      <c r="E9" s="33" t="s">
        <v>31</v>
      </c>
      <c r="F9" s="43"/>
      <c r="G9" s="1"/>
    </row>
    <row r="10" spans="1:7" x14ac:dyDescent="0.25">
      <c r="A10" s="1"/>
      <c r="B10" s="20" t="s">
        <v>157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3" t="s">
        <v>16</v>
      </c>
      <c r="C16" s="33" t="s">
        <v>11</v>
      </c>
      <c r="D16" s="34"/>
      <c r="E16" s="33" t="s">
        <v>31</v>
      </c>
      <c r="F16" s="43"/>
      <c r="G16" s="1"/>
    </row>
    <row r="17" spans="1:7" x14ac:dyDescent="0.25">
      <c r="A17" s="1"/>
      <c r="B17" s="20" t="s">
        <v>157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3" t="s">
        <v>16</v>
      </c>
      <c r="C23" s="33" t="s">
        <v>11</v>
      </c>
      <c r="D23" s="34"/>
      <c r="E23" s="33" t="s">
        <v>31</v>
      </c>
      <c r="F23" s="43"/>
      <c r="G23" s="1"/>
    </row>
    <row r="24" spans="1:7" x14ac:dyDescent="0.25">
      <c r="A24" s="1"/>
      <c r="B24" s="20" t="s">
        <v>157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3" t="s">
        <v>16</v>
      </c>
      <c r="C30" s="33" t="s">
        <v>11</v>
      </c>
      <c r="D30" s="34"/>
      <c r="E30" s="33" t="s">
        <v>31</v>
      </c>
      <c r="F30" s="43"/>
      <c r="G30" s="1"/>
    </row>
    <row r="31" spans="1:7" x14ac:dyDescent="0.25">
      <c r="A31" s="1"/>
      <c r="B31" s="20" t="s">
        <v>157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WhnbHJM92rvJKtBl3tqF5YuY0eE/DeT1SFCsXtD5pCxoTolX+HJUi+Zq4N4ZI3Rnhe4e9XQ8hhN33vZyBt3WQ==" saltValue="pv1PmkiP/+z003m+yZh2c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142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143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5" t="s">
        <v>144</v>
      </c>
      <c r="C3" s="65"/>
      <c r="D3" s="1"/>
    </row>
    <row r="4" spans="1:4" ht="25.5" customHeight="1" x14ac:dyDescent="0.25">
      <c r="A4" s="1"/>
      <c r="B4" s="65"/>
      <c r="C4" s="6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13</v>
      </c>
      <c r="C8" s="37"/>
      <c r="D8" s="37"/>
      <c r="E8" s="37"/>
      <c r="F8" s="37"/>
      <c r="G8" s="1"/>
    </row>
    <row r="9" spans="1:7" x14ac:dyDescent="0.25">
      <c r="A9" s="1"/>
      <c r="B9" s="40" t="s">
        <v>26</v>
      </c>
      <c r="C9" s="40"/>
      <c r="D9" s="40"/>
      <c r="E9" s="7">
        <f>'Fane 3. Omkostninger i ØR2020'!E16</f>
        <v>2260192.3281365302</v>
      </c>
      <c r="F9" s="40" t="s">
        <v>3</v>
      </c>
      <c r="G9" s="1"/>
    </row>
    <row r="10" spans="1:7" ht="17.100000000000001" customHeight="1" x14ac:dyDescent="0.25">
      <c r="A10" s="1"/>
      <c r="B10" s="40" t="s">
        <v>120</v>
      </c>
      <c r="C10" s="40"/>
      <c r="D10" s="40"/>
      <c r="E10" s="7">
        <v>17501.441046881169</v>
      </c>
      <c r="F10" s="40" t="s">
        <v>3</v>
      </c>
      <c r="G10" s="1"/>
    </row>
    <row r="11" spans="1:7" ht="17.100000000000001" customHeight="1" x14ac:dyDescent="0.25">
      <c r="A11" s="1"/>
      <c r="B11" s="27" t="s">
        <v>80</v>
      </c>
      <c r="C11" s="40"/>
      <c r="D11" s="40"/>
      <c r="E11" s="7">
        <f>'Fane 7.1. Varige tillæg'!C12+'Fane 7.1. Varige tillæg'!E12</f>
        <v>0</v>
      </c>
      <c r="F11" s="40" t="s">
        <v>3</v>
      </c>
      <c r="G11" s="1"/>
    </row>
    <row r="12" spans="1:7" ht="17.100000000000001" customHeight="1" x14ac:dyDescent="0.25">
      <c r="A12" s="1"/>
      <c r="B12" s="27" t="s">
        <v>82</v>
      </c>
      <c r="C12" s="40"/>
      <c r="D12" s="40"/>
      <c r="E12" s="8">
        <f>-('Fane 9. Bortfald'!C12+'Fane 9. Bortfald'!E12)</f>
        <v>0</v>
      </c>
      <c r="F12" s="40" t="s">
        <v>3</v>
      </c>
      <c r="G12" s="1"/>
    </row>
    <row r="13" spans="1:7" ht="17.100000000000001" customHeight="1" x14ac:dyDescent="0.25">
      <c r="A13" s="1"/>
      <c r="B13" s="27" t="s">
        <v>89</v>
      </c>
      <c r="C13" s="40"/>
      <c r="D13" s="40"/>
      <c r="E13" s="8">
        <f>'Fane 8. Tilknyttet virksomhed'!C12+'Fane 8. Tilknyttet virksomhed'!E12</f>
        <v>0</v>
      </c>
      <c r="F13" s="40" t="s">
        <v>3</v>
      </c>
      <c r="G13" s="1"/>
    </row>
    <row r="14" spans="1:7" ht="17.100000000000001" customHeight="1" x14ac:dyDescent="0.25">
      <c r="A14" s="1"/>
      <c r="B14" s="27" t="s">
        <v>18</v>
      </c>
      <c r="C14" s="40"/>
      <c r="D14" s="40"/>
      <c r="E14" s="8">
        <f>SUM(E9:E13)*'Fane 10. Nøgletal'!C13</f>
        <v>27787.86398403762</v>
      </c>
      <c r="F14" s="40" t="s">
        <v>3</v>
      </c>
      <c r="G14" s="1"/>
    </row>
    <row r="15" spans="1:7" ht="17.100000000000001" customHeight="1" x14ac:dyDescent="0.25">
      <c r="A15" s="1"/>
      <c r="B15" s="27" t="s">
        <v>72</v>
      </c>
      <c r="C15" s="40"/>
      <c r="D15" s="40"/>
      <c r="E15" s="8">
        <f>-SUM(E9:E14)*'Fane 10. Nøgletal'!C18</f>
        <v>-39193.187763846632</v>
      </c>
      <c r="F15" s="40" t="s">
        <v>3</v>
      </c>
      <c r="G15" s="1"/>
    </row>
    <row r="16" spans="1:7" ht="15" customHeight="1" x14ac:dyDescent="0.25">
      <c r="A16" s="1"/>
      <c r="B16" s="41" t="s">
        <v>20</v>
      </c>
      <c r="C16" s="36"/>
      <c r="D16" s="36"/>
      <c r="E16" s="9">
        <f>SUM(E9:E15)</f>
        <v>2266288.4454036024</v>
      </c>
      <c r="F16" s="38" t="s">
        <v>3</v>
      </c>
      <c r="G16" s="1"/>
    </row>
    <row r="17" spans="1:7" ht="15" customHeight="1" x14ac:dyDescent="0.25">
      <c r="A17" s="1"/>
      <c r="B17" s="37" t="s">
        <v>12</v>
      </c>
      <c r="C17" s="37"/>
      <c r="D17" s="37"/>
      <c r="E17" s="37"/>
      <c r="F17" s="37"/>
      <c r="G17" s="1"/>
    </row>
    <row r="18" spans="1:7" ht="15" customHeight="1" x14ac:dyDescent="0.25">
      <c r="A18" s="1"/>
      <c r="B18" s="38" t="s">
        <v>12</v>
      </c>
      <c r="C18" s="38"/>
      <c r="D18" s="38"/>
      <c r="E18" s="9">
        <f>'Fane 4. Ikke-påvirkelige omk.'!C15</f>
        <v>2431744.1316655199</v>
      </c>
      <c r="F18" s="38" t="s">
        <v>3</v>
      </c>
      <c r="G18" s="1"/>
    </row>
    <row r="19" spans="1:7" ht="15" customHeight="1" x14ac:dyDescent="0.25">
      <c r="A19" s="1"/>
      <c r="B19" s="37" t="s">
        <v>52</v>
      </c>
      <c r="C19" s="37"/>
      <c r="D19" s="37"/>
      <c r="E19" s="37"/>
      <c r="F19" s="37"/>
      <c r="G19" s="1"/>
    </row>
    <row r="20" spans="1:7" ht="15" customHeight="1" x14ac:dyDescent="0.25">
      <c r="A20" s="1"/>
      <c r="B20" s="27" t="s">
        <v>49</v>
      </c>
      <c r="C20" s="40"/>
      <c r="D20" s="40"/>
      <c r="E20" s="8">
        <f>'Fane 7.2. Engangstillæg'!C13</f>
        <v>0</v>
      </c>
      <c r="F20" s="40" t="s">
        <v>3</v>
      </c>
      <c r="G20" s="1"/>
    </row>
    <row r="21" spans="1:7" x14ac:dyDescent="0.25">
      <c r="A21" s="1"/>
      <c r="B21" s="27" t="s">
        <v>50</v>
      </c>
      <c r="C21" s="40"/>
      <c r="D21" s="40"/>
      <c r="E21" s="8">
        <f>'Fane 7.2. Engangstillæg'!E13</f>
        <v>0</v>
      </c>
      <c r="F21" s="40" t="s">
        <v>3</v>
      </c>
      <c r="G21" s="1"/>
    </row>
    <row r="22" spans="1:7" ht="15" customHeight="1" x14ac:dyDescent="0.25">
      <c r="A22" s="1"/>
      <c r="B22" s="41" t="s">
        <v>53</v>
      </c>
      <c r="C22" s="36"/>
      <c r="D22" s="36"/>
      <c r="E22" s="9">
        <f>SUM(E20:E21)</f>
        <v>0</v>
      </c>
      <c r="F22" s="38" t="s">
        <v>3</v>
      </c>
      <c r="G22" s="1"/>
    </row>
    <row r="23" spans="1:7" x14ac:dyDescent="0.25">
      <c r="A23" s="1"/>
      <c r="B23" s="37" t="s">
        <v>124</v>
      </c>
      <c r="C23" s="37"/>
      <c r="D23" s="37"/>
      <c r="E23" s="37"/>
      <c r="F23" s="37"/>
      <c r="G23" s="1"/>
    </row>
    <row r="24" spans="1:7" x14ac:dyDescent="0.25">
      <c r="A24" s="1"/>
      <c r="B24" s="41" t="s">
        <v>36</v>
      </c>
      <c r="C24" s="36"/>
      <c r="D24" s="36"/>
      <c r="E24" s="9">
        <f>'Fane 5. Kontrol af ØR2019'!E42</f>
        <v>-418185.76115074346</v>
      </c>
      <c r="F24" s="38" t="s">
        <v>3</v>
      </c>
      <c r="G24" s="1"/>
    </row>
    <row r="25" spans="1:7" x14ac:dyDescent="0.25">
      <c r="A25" s="1"/>
      <c r="B25" s="41" t="s">
        <v>125</v>
      </c>
      <c r="C25" s="36"/>
      <c r="D25" s="36"/>
      <c r="E25" s="9">
        <f>'Fane 5. Kontrol af ØR2019'!E43</f>
        <v>-142707.8092621062</v>
      </c>
      <c r="F25" s="38" t="s">
        <v>3</v>
      </c>
      <c r="G25" s="1"/>
    </row>
    <row r="26" spans="1:7" x14ac:dyDescent="0.25">
      <c r="A26" s="1"/>
      <c r="B26" s="37" t="s">
        <v>28</v>
      </c>
      <c r="C26" s="37"/>
      <c r="D26" s="37"/>
      <c r="E26" s="10">
        <f>SUM(E16,E18,E22,E24,E25)</f>
        <v>4137139.0066562723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13</v>
      </c>
      <c r="C8" s="37"/>
      <c r="D8" s="37"/>
      <c r="E8" s="37"/>
      <c r="F8" s="37"/>
      <c r="G8" s="1"/>
    </row>
    <row r="9" spans="1:7" ht="15" customHeight="1" x14ac:dyDescent="0.25">
      <c r="A9" s="1"/>
      <c r="B9" s="40" t="s">
        <v>27</v>
      </c>
      <c r="C9" s="40"/>
      <c r="D9" s="40"/>
      <c r="E9" s="7">
        <f>'Fane 2.1. Økonomisk ramme 2021'!E16</f>
        <v>2266288.4454036024</v>
      </c>
      <c r="F9" s="40" t="s">
        <v>3</v>
      </c>
      <c r="G9" s="1"/>
    </row>
    <row r="10" spans="1:7" ht="15" customHeight="1" x14ac:dyDescent="0.25">
      <c r="A10" s="1"/>
      <c r="B10" s="27" t="s">
        <v>82</v>
      </c>
      <c r="C10" s="40"/>
      <c r="D10" s="40"/>
      <c r="E10" s="7">
        <f>-('Fane 9. Bortfald'!C18+'Fane 9. Bortfald'!E18)</f>
        <v>0</v>
      </c>
      <c r="F10" s="40" t="s">
        <v>3</v>
      </c>
      <c r="G10" s="1"/>
    </row>
    <row r="11" spans="1:7" ht="15" customHeight="1" x14ac:dyDescent="0.25">
      <c r="A11" s="1"/>
      <c r="B11" s="35" t="s">
        <v>18</v>
      </c>
      <c r="C11" s="40"/>
      <c r="D11" s="40"/>
      <c r="E11" s="8">
        <f>SUM(E9:E10)*'Fane 10. Nøgletal'!C13</f>
        <v>27648.719033923953</v>
      </c>
      <c r="F11" s="40" t="s">
        <v>3</v>
      </c>
      <c r="G11" s="1"/>
    </row>
    <row r="12" spans="1:7" ht="15" customHeight="1" x14ac:dyDescent="0.25">
      <c r="A12" s="1"/>
      <c r="B12" s="35" t="s">
        <v>72</v>
      </c>
      <c r="C12" s="40"/>
      <c r="D12" s="40"/>
      <c r="E12" s="8">
        <f>-SUM(E9:E11)*'Fane 10. Nøgletal'!C18</f>
        <v>-38996.931795437951</v>
      </c>
      <c r="F12" s="40" t="s">
        <v>3</v>
      </c>
      <c r="G12" s="1"/>
    </row>
    <row r="13" spans="1:7" ht="15" customHeight="1" x14ac:dyDescent="0.25">
      <c r="A13" s="1"/>
      <c r="B13" s="36" t="s">
        <v>20</v>
      </c>
      <c r="C13" s="36"/>
      <c r="D13" s="36"/>
      <c r="E13" s="9">
        <f>SUM(E9:E12)</f>
        <v>2254940.2326420886</v>
      </c>
      <c r="F13" s="38" t="s">
        <v>3</v>
      </c>
      <c r="G13" s="1"/>
    </row>
    <row r="14" spans="1:7" x14ac:dyDescent="0.25">
      <c r="A14" s="1"/>
      <c r="B14" s="37" t="s">
        <v>12</v>
      </c>
      <c r="C14" s="37"/>
      <c r="D14" s="37"/>
      <c r="E14" s="37"/>
      <c r="F14" s="37"/>
      <c r="G14" s="1"/>
    </row>
    <row r="15" spans="1:7" ht="15" customHeight="1" x14ac:dyDescent="0.25">
      <c r="A15" s="1"/>
      <c r="B15" s="38" t="s">
        <v>12</v>
      </c>
      <c r="C15" s="38"/>
      <c r="D15" s="38"/>
      <c r="E15" s="9">
        <f>'Fane 4. Ikke-påvirkelige omk.'!C15*(1+'Fane 10. Nøgletal'!C13)</f>
        <v>2461411.4100718391</v>
      </c>
      <c r="F15" s="38" t="s">
        <v>3</v>
      </c>
      <c r="G15" s="1"/>
    </row>
    <row r="16" spans="1:7" ht="15" customHeight="1" x14ac:dyDescent="0.25">
      <c r="A16" s="1"/>
      <c r="B16" s="37" t="s">
        <v>52</v>
      </c>
      <c r="C16" s="37"/>
      <c r="D16" s="37"/>
      <c r="E16" s="37"/>
      <c r="F16" s="37"/>
      <c r="G16" s="1"/>
    </row>
    <row r="17" spans="1:7" ht="15" customHeight="1" x14ac:dyDescent="0.25">
      <c r="A17" s="1"/>
      <c r="B17" s="27" t="s">
        <v>49</v>
      </c>
      <c r="C17" s="40"/>
      <c r="D17" s="40"/>
      <c r="E17" s="8">
        <f>'Fane 7.2. Engangstillæg'!C20</f>
        <v>0</v>
      </c>
      <c r="F17" s="40" t="s">
        <v>3</v>
      </c>
      <c r="G17" s="1"/>
    </row>
    <row r="18" spans="1:7" ht="15" customHeight="1" x14ac:dyDescent="0.25">
      <c r="A18" s="1"/>
      <c r="B18" s="27" t="s">
        <v>50</v>
      </c>
      <c r="C18" s="40"/>
      <c r="D18" s="40"/>
      <c r="E18" s="8">
        <f>'Fane 7.2. Engangstillæg'!E20</f>
        <v>0</v>
      </c>
      <c r="F18" s="40" t="s">
        <v>3</v>
      </c>
      <c r="G18" s="1"/>
    </row>
    <row r="19" spans="1:7" ht="15" customHeight="1" x14ac:dyDescent="0.25">
      <c r="A19" s="1"/>
      <c r="B19" s="41" t="s">
        <v>53</v>
      </c>
      <c r="C19" s="36"/>
      <c r="D19" s="36"/>
      <c r="E19" s="9">
        <f>SUM(E17:E18)</f>
        <v>0</v>
      </c>
      <c r="F19" s="38" t="s">
        <v>3</v>
      </c>
      <c r="G19" s="1"/>
    </row>
    <row r="20" spans="1:7" x14ac:dyDescent="0.25">
      <c r="A20" s="1"/>
      <c r="B20" s="37" t="s">
        <v>124</v>
      </c>
      <c r="C20" s="37"/>
      <c r="D20" s="37"/>
      <c r="E20" s="37"/>
      <c r="F20" s="37"/>
      <c r="G20" s="1"/>
    </row>
    <row r="21" spans="1:7" ht="15" customHeight="1" x14ac:dyDescent="0.25">
      <c r="A21" s="1"/>
      <c r="B21" s="38" t="s">
        <v>36</v>
      </c>
      <c r="C21" s="38"/>
      <c r="D21" s="38"/>
      <c r="E21" s="9">
        <f>'Fane 5. Kontrol af ØR2019'!E42</f>
        <v>-418185.76115074346</v>
      </c>
      <c r="F21" s="38" t="s">
        <v>3</v>
      </c>
      <c r="G21" s="1"/>
    </row>
    <row r="22" spans="1:7" x14ac:dyDescent="0.25">
      <c r="A22" s="1"/>
      <c r="B22" s="41" t="s">
        <v>125</v>
      </c>
      <c r="C22" s="38"/>
      <c r="D22" s="38"/>
      <c r="E22" s="9">
        <f>'Fane 5. Kontrol af ØR2019'!E43</f>
        <v>-142707.8092621062</v>
      </c>
      <c r="F22" s="38" t="s">
        <v>3</v>
      </c>
      <c r="G22" s="1"/>
    </row>
    <row r="23" spans="1:7" x14ac:dyDescent="0.25">
      <c r="A23" s="1"/>
      <c r="B23" s="37" t="s">
        <v>29</v>
      </c>
      <c r="C23" s="37"/>
      <c r="D23" s="37"/>
      <c r="E23" s="10">
        <f>SUM(E13,E15,E19,E21,E22)</f>
        <v>4155458.0723010777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25">
      <c r="A8" s="1"/>
      <c r="B8" s="40" t="s">
        <v>92</v>
      </c>
      <c r="C8" s="40"/>
      <c r="D8" s="40"/>
      <c r="E8" s="7">
        <f>'Fane 2.2. Økonomisk ramme 2022'!E13</f>
        <v>2254940.2326420886</v>
      </c>
      <c r="F8" s="40" t="s">
        <v>3</v>
      </c>
      <c r="G8" s="1"/>
    </row>
    <row r="9" spans="1:7" ht="15" customHeight="1" x14ac:dyDescent="0.25">
      <c r="A9" s="1"/>
      <c r="B9" s="40" t="s">
        <v>82</v>
      </c>
      <c r="C9" s="40"/>
      <c r="D9" s="40"/>
      <c r="E9" s="7">
        <f>-('Fane 9. Bortfald'!C24+'Fane 9. Bortfald'!E24)</f>
        <v>0</v>
      </c>
      <c r="F9" s="40" t="s">
        <v>3</v>
      </c>
      <c r="G9" s="1"/>
    </row>
    <row r="10" spans="1:7" ht="15" customHeight="1" x14ac:dyDescent="0.25">
      <c r="A10" s="1"/>
      <c r="B10" s="35" t="s">
        <v>18</v>
      </c>
      <c r="C10" s="40"/>
      <c r="D10" s="40"/>
      <c r="E10" s="8">
        <f>SUM(E8:E9)*'Fane 10. Nøgletal'!C13</f>
        <v>27510.270838233482</v>
      </c>
      <c r="F10" s="40" t="s">
        <v>3</v>
      </c>
      <c r="G10" s="1"/>
    </row>
    <row r="11" spans="1:7" ht="15" customHeight="1" x14ac:dyDescent="0.25">
      <c r="A11" s="1"/>
      <c r="B11" s="35" t="s">
        <v>72</v>
      </c>
      <c r="C11" s="40"/>
      <c r="D11" s="40"/>
      <c r="E11" s="8">
        <f>-SUM(E8:E10)*'Fane 10. Nøgletal'!C18</f>
        <v>-38801.65855916548</v>
      </c>
      <c r="F11" s="40" t="s">
        <v>3</v>
      </c>
      <c r="G11" s="1"/>
    </row>
    <row r="12" spans="1:7" x14ac:dyDescent="0.25">
      <c r="A12" s="1"/>
      <c r="B12" s="36" t="s">
        <v>20</v>
      </c>
      <c r="C12" s="36"/>
      <c r="D12" s="36"/>
      <c r="E12" s="9">
        <f>SUM(E8:E11)</f>
        <v>2243648.8449211568</v>
      </c>
      <c r="F12" s="38" t="s">
        <v>3</v>
      </c>
      <c r="G12" s="1"/>
    </row>
    <row r="13" spans="1:7" x14ac:dyDescent="0.2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25">
      <c r="A14" s="1"/>
      <c r="B14" s="38" t="s">
        <v>12</v>
      </c>
      <c r="C14" s="38"/>
      <c r="D14" s="38"/>
      <c r="E14" s="9">
        <f>'Fane 4. Ikke-påvirkelige omk.'!C15*(1+'Fane 10. Nøgletal'!C13)^2</f>
        <v>2491440.6292747157</v>
      </c>
      <c r="F14" s="38" t="s">
        <v>3</v>
      </c>
      <c r="G14" s="1"/>
    </row>
    <row r="15" spans="1:7" ht="15" customHeight="1" x14ac:dyDescent="0.25">
      <c r="A15" s="1"/>
      <c r="B15" s="37" t="s">
        <v>52</v>
      </c>
      <c r="C15" s="37"/>
      <c r="D15" s="37"/>
      <c r="E15" s="37"/>
      <c r="F15" s="37"/>
      <c r="G15" s="1"/>
    </row>
    <row r="16" spans="1:7" ht="15" customHeight="1" x14ac:dyDescent="0.25">
      <c r="A16" s="1"/>
      <c r="B16" s="27" t="s">
        <v>49</v>
      </c>
      <c r="C16" s="40"/>
      <c r="D16" s="40"/>
      <c r="E16" s="8">
        <f>'Fane 7.2. Engangstillæg'!C27</f>
        <v>0</v>
      </c>
      <c r="F16" s="40" t="s">
        <v>3</v>
      </c>
      <c r="G16" s="1"/>
    </row>
    <row r="17" spans="1:7" ht="15" customHeight="1" x14ac:dyDescent="0.25">
      <c r="A17" s="1"/>
      <c r="B17" s="27" t="s">
        <v>50</v>
      </c>
      <c r="C17" s="40"/>
      <c r="D17" s="40"/>
      <c r="E17" s="8">
        <f>'Fane 7.2. Engangstillæg'!E27</f>
        <v>0</v>
      </c>
      <c r="F17" s="40" t="s">
        <v>3</v>
      </c>
      <c r="G17" s="1"/>
    </row>
    <row r="18" spans="1:7" ht="15" customHeight="1" x14ac:dyDescent="0.25">
      <c r="A18" s="1"/>
      <c r="B18" s="41" t="s">
        <v>53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37" t="s">
        <v>57</v>
      </c>
      <c r="C19" s="37"/>
      <c r="D19" s="37"/>
      <c r="E19" s="10">
        <f>SUM(E12,E14,E18)</f>
        <v>4735089.4741958724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25">
      <c r="A8" s="1"/>
      <c r="B8" s="40" t="s">
        <v>94</v>
      </c>
      <c r="C8" s="40"/>
      <c r="D8" s="40"/>
      <c r="E8" s="7">
        <f>'Fane 2.3. Økonomisk ramme 2023'!E12</f>
        <v>2243648.8449211568</v>
      </c>
      <c r="F8" s="40" t="s">
        <v>3</v>
      </c>
      <c r="G8" s="1"/>
    </row>
    <row r="9" spans="1:7" ht="15" customHeight="1" x14ac:dyDescent="0.25">
      <c r="A9" s="1"/>
      <c r="B9" s="40" t="s">
        <v>82</v>
      </c>
      <c r="C9" s="40"/>
      <c r="D9" s="40"/>
      <c r="E9" s="7">
        <f>-('Fane 9. Bortfald'!C30+'Fane 9. Bortfald'!E30)</f>
        <v>0</v>
      </c>
      <c r="F9" s="40" t="s">
        <v>3</v>
      </c>
      <c r="G9" s="1"/>
    </row>
    <row r="10" spans="1:7" ht="15" customHeight="1" x14ac:dyDescent="0.25">
      <c r="A10" s="1"/>
      <c r="B10" s="35" t="s">
        <v>18</v>
      </c>
      <c r="C10" s="40"/>
      <c r="D10" s="40"/>
      <c r="E10" s="8">
        <f>SUM(E8:E9)*'Fane 10. Nøgletal'!C13</f>
        <v>27372.515908038113</v>
      </c>
      <c r="F10" s="40" t="s">
        <v>3</v>
      </c>
      <c r="G10" s="1"/>
    </row>
    <row r="11" spans="1:7" ht="15" customHeight="1" x14ac:dyDescent="0.25">
      <c r="A11" s="1"/>
      <c r="B11" s="35" t="s">
        <v>72</v>
      </c>
      <c r="C11" s="40"/>
      <c r="D11" s="40"/>
      <c r="E11" s="8">
        <f>-SUM(E8:E10)*'Fane 10. Nøgletal'!C18</f>
        <v>-38607.363134096318</v>
      </c>
      <c r="F11" s="40" t="s">
        <v>3</v>
      </c>
      <c r="G11" s="1"/>
    </row>
    <row r="12" spans="1:7" x14ac:dyDescent="0.25">
      <c r="A12" s="1"/>
      <c r="B12" s="36" t="s">
        <v>20</v>
      </c>
      <c r="C12" s="36"/>
      <c r="D12" s="36"/>
      <c r="E12" s="9">
        <f>SUM(E8:E11)</f>
        <v>2232413.9976950986</v>
      </c>
      <c r="F12" s="38" t="s">
        <v>3</v>
      </c>
      <c r="G12" s="1"/>
    </row>
    <row r="13" spans="1:7" x14ac:dyDescent="0.2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25">
      <c r="A14" s="1"/>
      <c r="B14" s="38" t="s">
        <v>12</v>
      </c>
      <c r="C14" s="38"/>
      <c r="D14" s="38"/>
      <c r="E14" s="9">
        <f>'Fane 4. Ikke-påvirkelige omk.'!C15*(1+'Fane 10. Nøgletal'!C13)^3</f>
        <v>2521836.2049518675</v>
      </c>
      <c r="F14" s="38" t="s">
        <v>3</v>
      </c>
      <c r="G14" s="1"/>
    </row>
    <row r="15" spans="1:7" ht="15" customHeight="1" x14ac:dyDescent="0.25">
      <c r="A15" s="1"/>
      <c r="B15" s="37" t="s">
        <v>52</v>
      </c>
      <c r="C15" s="37"/>
      <c r="D15" s="37"/>
      <c r="E15" s="37"/>
      <c r="F15" s="37"/>
      <c r="G15" s="1"/>
    </row>
    <row r="16" spans="1:7" ht="15" customHeight="1" x14ac:dyDescent="0.25">
      <c r="A16" s="1"/>
      <c r="B16" s="27" t="s">
        <v>49</v>
      </c>
      <c r="C16" s="40"/>
      <c r="D16" s="40"/>
      <c r="E16" s="8">
        <f>'Fane 7.2. Engangstillæg'!C34</f>
        <v>0</v>
      </c>
      <c r="F16" s="40" t="s">
        <v>3</v>
      </c>
      <c r="G16" s="1"/>
    </row>
    <row r="17" spans="1:7" ht="15" customHeight="1" x14ac:dyDescent="0.25">
      <c r="A17" s="1"/>
      <c r="B17" s="27" t="s">
        <v>50</v>
      </c>
      <c r="C17" s="40"/>
      <c r="D17" s="40"/>
      <c r="E17" s="8">
        <f>'Fane 7.2. Engangstillæg'!E34</f>
        <v>0</v>
      </c>
      <c r="F17" s="40" t="s">
        <v>3</v>
      </c>
      <c r="G17" s="1"/>
    </row>
    <row r="18" spans="1:7" ht="15" customHeight="1" x14ac:dyDescent="0.25">
      <c r="A18" s="1"/>
      <c r="B18" s="41" t="s">
        <v>53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37" t="s">
        <v>95</v>
      </c>
      <c r="C19" s="37"/>
      <c r="D19" s="37"/>
      <c r="E19" s="10">
        <f>SUM(E12,E14,E18)</f>
        <v>4754250.2026469661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96</v>
      </c>
      <c r="C3" s="65"/>
      <c r="D3" s="65"/>
      <c r="E3" s="65"/>
      <c r="F3" s="65"/>
      <c r="G3" s="1"/>
    </row>
    <row r="4" spans="1:7" ht="29.2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97</v>
      </c>
      <c r="C8" s="37"/>
      <c r="D8" s="37"/>
      <c r="E8" s="37"/>
      <c r="F8" s="37"/>
      <c r="G8" s="1"/>
    </row>
    <row r="9" spans="1:7" x14ac:dyDescent="0.25">
      <c r="A9" s="1"/>
      <c r="B9" s="66" t="s">
        <v>24</v>
      </c>
      <c r="C9" s="66"/>
      <c r="D9" s="66"/>
      <c r="E9" s="7">
        <v>2270445.4326659064</v>
      </c>
      <c r="F9" s="40" t="s">
        <v>3</v>
      </c>
      <c r="G9" s="1"/>
    </row>
    <row r="10" spans="1:7" x14ac:dyDescent="0.25">
      <c r="A10" s="1"/>
      <c r="B10" s="67" t="s">
        <v>149</v>
      </c>
      <c r="C10" s="67"/>
      <c r="D10" s="67"/>
      <c r="E10" s="7">
        <v>0</v>
      </c>
      <c r="F10" s="40" t="s">
        <v>3</v>
      </c>
      <c r="G10" s="1"/>
    </row>
    <row r="11" spans="1:7" x14ac:dyDescent="0.25">
      <c r="A11" s="1"/>
      <c r="B11" s="67" t="s">
        <v>150</v>
      </c>
      <c r="C11" s="67"/>
      <c r="D11" s="67"/>
      <c r="E11" s="7">
        <v>0</v>
      </c>
      <c r="F11" s="40" t="s">
        <v>3</v>
      </c>
      <c r="G11" s="1"/>
    </row>
    <row r="12" spans="1:7" x14ac:dyDescent="0.25">
      <c r="A12" s="1"/>
      <c r="B12" s="67" t="s">
        <v>80</v>
      </c>
      <c r="C12" s="67"/>
      <c r="D12" s="67"/>
      <c r="E12" s="7">
        <v>0</v>
      </c>
      <c r="F12" s="40" t="s">
        <v>3</v>
      </c>
      <c r="G12" s="1"/>
    </row>
    <row r="13" spans="1:7" x14ac:dyDescent="0.25">
      <c r="A13" s="1"/>
      <c r="B13" s="67" t="s">
        <v>81</v>
      </c>
      <c r="C13" s="67"/>
      <c r="D13" s="67"/>
      <c r="E13" s="8">
        <v>0</v>
      </c>
      <c r="F13" s="40" t="s">
        <v>3</v>
      </c>
      <c r="G13" s="1"/>
    </row>
    <row r="14" spans="1:7" x14ac:dyDescent="0.2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28834.65699485701</v>
      </c>
      <c r="F14" s="40" t="s">
        <v>3</v>
      </c>
      <c r="G14" s="1"/>
    </row>
    <row r="15" spans="1:7" x14ac:dyDescent="0.25">
      <c r="A15" s="1"/>
      <c r="B15" s="67" t="s">
        <v>72</v>
      </c>
      <c r="C15" s="67"/>
      <c r="D15" s="67"/>
      <c r="E15" s="8">
        <f>-SUM(E9:E9,E12:E14)*'Fane 10. Nøgletal'!C18</f>
        <v>-39087.761524232978</v>
      </c>
      <c r="F15" s="40" t="s">
        <v>3</v>
      </c>
      <c r="G15" s="1"/>
    </row>
    <row r="16" spans="1:7" x14ac:dyDescent="0.25">
      <c r="A16" s="1"/>
      <c r="B16" s="72" t="s">
        <v>20</v>
      </c>
      <c r="C16" s="72"/>
      <c r="D16" s="72"/>
      <c r="E16" s="9">
        <f>SUM(E9,E12:E15)</f>
        <v>2260192.3281365302</v>
      </c>
      <c r="F16" s="38" t="s">
        <v>3</v>
      </c>
      <c r="G16" s="1"/>
    </row>
    <row r="17" spans="1:7" x14ac:dyDescent="0.25">
      <c r="A17" s="1"/>
      <c r="B17" s="73" t="s">
        <v>12</v>
      </c>
      <c r="C17" s="73"/>
      <c r="D17" s="73"/>
      <c r="E17" s="37"/>
      <c r="F17" s="37"/>
      <c r="G17" s="1"/>
    </row>
    <row r="18" spans="1:7" x14ac:dyDescent="0.25">
      <c r="A18" s="1"/>
      <c r="B18" s="74" t="s">
        <v>12</v>
      </c>
      <c r="C18" s="74"/>
      <c r="D18" s="74"/>
      <c r="E18" s="9">
        <v>2783610.4570104601</v>
      </c>
      <c r="F18" s="38" t="s">
        <v>3</v>
      </c>
      <c r="G18" s="1"/>
    </row>
    <row r="19" spans="1:7" x14ac:dyDescent="0.25">
      <c r="A19" s="1"/>
      <c r="B19" s="37" t="s">
        <v>52</v>
      </c>
      <c r="C19" s="37"/>
      <c r="D19" s="37"/>
      <c r="E19" s="37"/>
      <c r="F19" s="37"/>
      <c r="G19" s="1"/>
    </row>
    <row r="20" spans="1:7" ht="15.4" customHeight="1" x14ac:dyDescent="0.25">
      <c r="A20" s="1"/>
      <c r="B20" s="75" t="s">
        <v>49</v>
      </c>
      <c r="C20" s="76"/>
      <c r="D20" s="77"/>
      <c r="E20" s="31">
        <v>0</v>
      </c>
      <c r="F20" s="32" t="s">
        <v>3</v>
      </c>
      <c r="G20" s="1"/>
    </row>
    <row r="21" spans="1:7" ht="15.75" customHeight="1" x14ac:dyDescent="0.25">
      <c r="A21" s="1"/>
      <c r="B21" s="75" t="s">
        <v>50</v>
      </c>
      <c r="C21" s="76"/>
      <c r="D21" s="77"/>
      <c r="E21" s="31">
        <v>0</v>
      </c>
      <c r="F21" s="32" t="s">
        <v>3</v>
      </c>
      <c r="G21" s="1"/>
    </row>
    <row r="22" spans="1:7" x14ac:dyDescent="0.25">
      <c r="A22" s="1"/>
      <c r="B22" s="78" t="s">
        <v>53</v>
      </c>
      <c r="C22" s="79"/>
      <c r="D22" s="80"/>
      <c r="E22" s="9">
        <v>0</v>
      </c>
      <c r="F22" s="9" t="s">
        <v>3</v>
      </c>
      <c r="G22" s="1"/>
    </row>
    <row r="23" spans="1:7" x14ac:dyDescent="0.25">
      <c r="A23" s="1"/>
      <c r="B23" s="37" t="s">
        <v>145</v>
      </c>
      <c r="C23" s="37"/>
      <c r="D23" s="37"/>
      <c r="E23" s="37"/>
      <c r="F23" s="37"/>
      <c r="G23" s="1"/>
    </row>
    <row r="24" spans="1:7" ht="15.75" customHeight="1" x14ac:dyDescent="0.25">
      <c r="A24" s="1"/>
      <c r="B24" s="68" t="s">
        <v>146</v>
      </c>
      <c r="C24" s="69"/>
      <c r="D24" s="70"/>
      <c r="E24" s="9">
        <v>-321892</v>
      </c>
      <c r="F24" s="9" t="s">
        <v>3</v>
      </c>
      <c r="G24" s="1"/>
    </row>
    <row r="25" spans="1:7" x14ac:dyDescent="0.25">
      <c r="A25" s="1"/>
      <c r="B25" s="37" t="s">
        <v>147</v>
      </c>
      <c r="C25" s="37"/>
      <c r="D25" s="37"/>
      <c r="E25" s="37"/>
      <c r="F25" s="37"/>
      <c r="G25" s="1"/>
    </row>
    <row r="26" spans="1:7" ht="15.4" customHeight="1" x14ac:dyDescent="0.25">
      <c r="A26" s="1"/>
      <c r="B26" s="68" t="s">
        <v>148</v>
      </c>
      <c r="C26" s="69"/>
      <c r="D26" s="70"/>
      <c r="E26" s="9">
        <v>0</v>
      </c>
      <c r="F26" s="38" t="s">
        <v>3</v>
      </c>
      <c r="G26" s="1"/>
    </row>
    <row r="27" spans="1:7" x14ac:dyDescent="0.25">
      <c r="A27" s="1"/>
      <c r="B27" s="37" t="s">
        <v>25</v>
      </c>
      <c r="C27" s="37"/>
      <c r="D27" s="37"/>
      <c r="E27" s="10">
        <f>E16+E18+E22+E24+E26</f>
        <v>4721910.7851469908</v>
      </c>
      <c r="F27" s="11" t="s">
        <v>3</v>
      </c>
      <c r="G27" s="1"/>
    </row>
    <row r="28" spans="1:7" ht="28.5" customHeight="1" x14ac:dyDescent="0.25">
      <c r="A28" s="1"/>
      <c r="B28" s="71" t="s">
        <v>98</v>
      </c>
      <c r="C28" s="71"/>
      <c r="D28" s="71"/>
      <c r="E28" s="71"/>
      <c r="F28" s="7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PP7P85JhrbVjyWdQ9egUAKJa1oqi6DC2OkuDwxPIOmVB1aqGYWtUkYXzvgGzowOehFvJUrpbQCJQXyE4P5G9qQ==" saltValue="eVIVPDckoqgqlT2tuKLsGQ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38" t="s">
        <v>100</v>
      </c>
      <c r="D9" s="38"/>
      <c r="E9" s="1"/>
      <c r="F9" s="1"/>
    </row>
    <row r="10" spans="1:6" ht="15" customHeight="1" x14ac:dyDescent="0.25">
      <c r="A10" s="1"/>
      <c r="B10" s="26" t="s">
        <v>153</v>
      </c>
      <c r="C10" s="8">
        <v>2298831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7295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65335</v>
      </c>
      <c r="D12" s="12" t="s">
        <v>3</v>
      </c>
      <c r="E12" s="1"/>
      <c r="F12" s="1"/>
    </row>
    <row r="13" spans="1:6" x14ac:dyDescent="0.25">
      <c r="A13" s="1"/>
      <c r="B13" s="26" t="s">
        <v>156</v>
      </c>
      <c r="C13" s="8">
        <v>2017</v>
      </c>
      <c r="D13" s="12" t="s">
        <v>3</v>
      </c>
      <c r="E13" s="1"/>
      <c r="F13" s="1"/>
    </row>
    <row r="14" spans="1:6" x14ac:dyDescent="0.25">
      <c r="A14" s="1"/>
      <c r="B14" s="44" t="s">
        <v>101</v>
      </c>
      <c r="C14" s="10">
        <f>SUM(C10:C13)</f>
        <v>2373478</v>
      </c>
      <c r="D14" s="11" t="s">
        <v>3</v>
      </c>
      <c r="E14" s="1"/>
      <c r="F14" s="1"/>
    </row>
    <row r="15" spans="1:6" x14ac:dyDescent="0.25">
      <c r="A15" s="1"/>
      <c r="B15" s="44" t="s">
        <v>102</v>
      </c>
      <c r="C15" s="10">
        <f>C14*(1+'Fane 10. Nøgletal'!C13)^2</f>
        <v>2431744.1316655199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5" t="s">
        <v>116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90" t="s">
        <v>34</v>
      </c>
      <c r="C7" s="90"/>
      <c r="D7" s="90"/>
      <c r="E7" s="8">
        <v>360798.56666666665</v>
      </c>
      <c r="F7" s="12" t="s">
        <v>3</v>
      </c>
      <c r="G7" s="1"/>
    </row>
    <row r="8" spans="1:7" ht="15" customHeight="1" x14ac:dyDescent="0.25">
      <c r="A8" s="1"/>
      <c r="B8" s="90" t="s">
        <v>35</v>
      </c>
      <c r="C8" s="90"/>
      <c r="D8" s="90"/>
      <c r="E8" s="8">
        <v>-1197170.0889681536</v>
      </c>
      <c r="F8" s="12" t="s">
        <v>3</v>
      </c>
      <c r="G8" s="1"/>
    </row>
    <row r="9" spans="1:7" ht="15" customHeight="1" x14ac:dyDescent="0.25">
      <c r="A9" s="1"/>
      <c r="B9" s="78" t="s">
        <v>76</v>
      </c>
      <c r="C9" s="79"/>
      <c r="D9" s="80"/>
      <c r="E9" s="9">
        <f>SUM(E7:E8)</f>
        <v>-836371.52230148693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71" t="s">
        <v>71</v>
      </c>
      <c r="C11" s="71"/>
      <c r="D11" s="71"/>
      <c r="E11" s="71"/>
      <c r="F11" s="7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90" t="s">
        <v>63</v>
      </c>
      <c r="C15" s="90"/>
      <c r="D15" s="90"/>
      <c r="E15" s="8">
        <v>4382125.2108399328</v>
      </c>
      <c r="F15" s="12" t="s">
        <v>3</v>
      </c>
      <c r="G15" s="1"/>
    </row>
    <row r="16" spans="1:7" x14ac:dyDescent="0.25">
      <c r="A16" s="1"/>
      <c r="B16" s="90" t="s">
        <v>64</v>
      </c>
      <c r="C16" s="90"/>
      <c r="D16" s="90"/>
      <c r="E16" s="8">
        <v>4511348</v>
      </c>
      <c r="F16" s="12" t="s">
        <v>3</v>
      </c>
      <c r="G16" s="1"/>
    </row>
    <row r="17" spans="1:7" x14ac:dyDescent="0.25">
      <c r="A17" s="1"/>
      <c r="B17" s="90" t="s">
        <v>33</v>
      </c>
      <c r="C17" s="90"/>
      <c r="D17" s="90"/>
      <c r="E17" s="8">
        <v>0</v>
      </c>
      <c r="F17" s="12" t="s">
        <v>3</v>
      </c>
      <c r="G17" s="1"/>
    </row>
    <row r="18" spans="1:7" x14ac:dyDescent="0.25">
      <c r="A18" s="1"/>
      <c r="B18" s="85" t="s">
        <v>136</v>
      </c>
      <c r="C18" s="85"/>
      <c r="D18" s="85"/>
      <c r="E18" s="9">
        <f>E15-(E16-E17)</f>
        <v>-129222.78916006722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71" t="s">
        <v>70</v>
      </c>
      <c r="C20" s="71"/>
      <c r="D20" s="71"/>
      <c r="E20" s="71"/>
      <c r="F20" s="71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90" t="s">
        <v>45</v>
      </c>
      <c r="C23" s="90"/>
      <c r="D23" s="90"/>
      <c r="E23" s="8">
        <v>4568852.8375262739</v>
      </c>
      <c r="F23" s="12" t="s">
        <v>3</v>
      </c>
      <c r="G23" s="1"/>
    </row>
    <row r="24" spans="1:7" ht="15" customHeight="1" x14ac:dyDescent="0.25">
      <c r="A24" s="1"/>
      <c r="B24" s="90" t="s">
        <v>46</v>
      </c>
      <c r="C24" s="90"/>
      <c r="D24" s="90"/>
      <c r="E24" s="8">
        <v>4510391.3</v>
      </c>
      <c r="F24" s="12" t="s">
        <v>3</v>
      </c>
      <c r="G24" s="1"/>
    </row>
    <row r="25" spans="1:7" ht="15" customHeight="1" x14ac:dyDescent="0.25">
      <c r="A25" s="1"/>
      <c r="B25" s="90" t="s">
        <v>33</v>
      </c>
      <c r="C25" s="90"/>
      <c r="D25" s="90"/>
      <c r="E25" s="8">
        <v>0</v>
      </c>
      <c r="F25" s="12" t="s">
        <v>3</v>
      </c>
      <c r="G25" s="1"/>
    </row>
    <row r="26" spans="1:7" x14ac:dyDescent="0.25">
      <c r="A26" s="1"/>
      <c r="B26" s="85" t="s">
        <v>137</v>
      </c>
      <c r="C26" s="85"/>
      <c r="D26" s="85"/>
      <c r="E26" s="9">
        <f>E23-(E24-E25)</f>
        <v>58461.5375262741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71" t="s">
        <v>126</v>
      </c>
      <c r="C28" s="71"/>
      <c r="D28" s="71"/>
      <c r="E28" s="71"/>
      <c r="F28" s="71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90" t="s">
        <v>128</v>
      </c>
      <c r="C31" s="90"/>
      <c r="D31" s="90"/>
      <c r="E31" s="8">
        <v>4754093.6331095807</v>
      </c>
      <c r="F31" s="12" t="s">
        <v>3</v>
      </c>
      <c r="G31" s="1"/>
    </row>
    <row r="32" spans="1:7" x14ac:dyDescent="0.25">
      <c r="A32" s="1"/>
      <c r="B32" s="90" t="s">
        <v>129</v>
      </c>
      <c r="C32" s="90"/>
      <c r="D32" s="90"/>
      <c r="E32" s="8">
        <v>4968748</v>
      </c>
      <c r="F32" s="12" t="s">
        <v>3</v>
      </c>
      <c r="G32" s="1"/>
    </row>
    <row r="33" spans="1:7" x14ac:dyDescent="0.25">
      <c r="A33" s="1"/>
      <c r="B33" s="90" t="s">
        <v>33</v>
      </c>
      <c r="C33" s="90"/>
      <c r="D33" s="90"/>
      <c r="E33" s="8">
        <v>0</v>
      </c>
      <c r="F33" s="12" t="s">
        <v>3</v>
      </c>
      <c r="G33" s="1"/>
    </row>
    <row r="34" spans="1:7" x14ac:dyDescent="0.25">
      <c r="A34" s="1"/>
      <c r="B34" s="85" t="s">
        <v>138</v>
      </c>
      <c r="C34" s="85"/>
      <c r="D34" s="85"/>
      <c r="E34" s="9">
        <f>E31-(E32-E33)</f>
        <v>-214654.36689041927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86" t="s">
        <v>36</v>
      </c>
      <c r="C39" s="86"/>
      <c r="D39" s="86"/>
      <c r="E39" s="8">
        <f>E9</f>
        <v>-836371.52230148693</v>
      </c>
      <c r="F39" s="12" t="s">
        <v>3</v>
      </c>
      <c r="G39" s="1"/>
    </row>
    <row r="40" spans="1:7" x14ac:dyDescent="0.25">
      <c r="A40" s="1"/>
      <c r="B40" s="86" t="s">
        <v>135</v>
      </c>
      <c r="C40" s="86"/>
      <c r="D40" s="86"/>
      <c r="E40" s="8">
        <f>IF(E18+E26+E34&lt;0,E18+E26+E34,0)</f>
        <v>-285415.61852421239</v>
      </c>
      <c r="F40" s="12" t="s">
        <v>3</v>
      </c>
      <c r="G40" s="1"/>
    </row>
    <row r="41" spans="1:7" x14ac:dyDescent="0.25">
      <c r="A41" s="1"/>
      <c r="B41" s="86" t="s">
        <v>73</v>
      </c>
      <c r="C41" s="86"/>
      <c r="D41" s="86"/>
      <c r="E41" s="8">
        <v>2</v>
      </c>
      <c r="F41" s="12" t="s">
        <v>19</v>
      </c>
      <c r="G41" s="1"/>
    </row>
    <row r="42" spans="1:7" x14ac:dyDescent="0.25">
      <c r="A42" s="1"/>
      <c r="B42" s="85" t="s">
        <v>133</v>
      </c>
      <c r="C42" s="85"/>
      <c r="D42" s="85"/>
      <c r="E42" s="9">
        <f>SUM(E39)/E41</f>
        <v>-418185.76115074346</v>
      </c>
      <c r="F42" s="15" t="s">
        <v>3</v>
      </c>
      <c r="G42" s="1"/>
    </row>
    <row r="43" spans="1:7" x14ac:dyDescent="0.25">
      <c r="A43" s="1"/>
      <c r="B43" s="85" t="s">
        <v>134</v>
      </c>
      <c r="C43" s="85"/>
      <c r="D43" s="85"/>
      <c r="E43" s="9">
        <f>E40/E41</f>
        <v>-142707.8092621062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8" t="s">
        <v>2</v>
      </c>
      <c r="F9" s="38" t="s">
        <v>11</v>
      </c>
      <c r="G9" s="38" t="s">
        <v>30</v>
      </c>
      <c r="H9" s="43"/>
      <c r="I9" s="1"/>
    </row>
    <row r="10" spans="1:9" x14ac:dyDescent="0.25">
      <c r="A10" s="1"/>
      <c r="B10" s="46" t="s">
        <v>158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2020-10-14T06:32:36Z</dcterms:modified>
</cp:coreProperties>
</file>