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Bornholms Spildevand AS (S010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6" i="19"/>
  <c r="E28" i="20" l="1"/>
  <c r="E22" i="20"/>
  <c r="E16" i="20"/>
  <c r="E10" i="20"/>
  <c r="E10" i="11" l="1"/>
  <c r="G6" i="30" l="1"/>
  <c r="G10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4" i="30" s="1"/>
  <c r="E30" i="21" l="1"/>
  <c r="G60" i="36" s="1"/>
  <c r="C30" i="21"/>
  <c r="G58" i="30" s="1"/>
  <c r="E24" i="21"/>
  <c r="G54" i="36" s="1"/>
  <c r="C24" i="21"/>
  <c r="G52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4" i="30"/>
  <c r="G18" i="30" s="1"/>
  <c r="G23" i="36" l="1"/>
  <c r="G25" i="36" s="1"/>
  <c r="G20" i="30"/>
  <c r="G29" i="36" l="1"/>
  <c r="G24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7" i="19"/>
  <c r="C18" i="23" l="1"/>
  <c r="C18" i="22"/>
  <c r="C18" i="15"/>
  <c r="C15" i="2"/>
  <c r="C14" i="2"/>
  <c r="C22" i="2"/>
  <c r="C12" i="2"/>
  <c r="G37" i="30" s="1"/>
  <c r="G43" i="30" s="1"/>
  <c r="C13" i="2"/>
  <c r="G26" i="30" l="1"/>
  <c r="G30" i="30" l="1"/>
  <c r="E11" i="11"/>
  <c r="E10" i="37" s="1"/>
  <c r="E12" i="37" s="1"/>
  <c r="E13" i="37" s="1"/>
  <c r="C11" i="2" l="1"/>
  <c r="G36" i="36" s="1"/>
  <c r="G32" i="30"/>
  <c r="E18" i="27" s="1"/>
  <c r="G42" i="36" l="1"/>
  <c r="G37" i="36"/>
  <c r="G41" i="36" s="1"/>
  <c r="G36" i="30"/>
  <c r="E20" i="27"/>
  <c r="E33" i="27" s="1"/>
  <c r="C9" i="2" l="1"/>
  <c r="C16" i="2" s="1"/>
  <c r="G38" i="30"/>
  <c r="G42" i="30" s="1"/>
  <c r="G45" i="30" s="1"/>
  <c r="G51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3" i="30"/>
  <c r="C12" i="22" l="1"/>
  <c r="C13" i="22" s="1"/>
  <c r="C14" i="22"/>
  <c r="G57" i="30"/>
  <c r="G59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<sst xmlns="http://schemas.openxmlformats.org/spreadsheetml/2006/main" count="711" uniqueCount="288">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</sst>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4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5">
      <c r="A8" s="1"/>
      <c r="B8" s="1"/>
      <c r="C8" s="4"/>
      <c r="D8" s="78" t="s">
        <v>286</v>
      </c>
      <c r="E8" s="78"/>
      <c r="F8" s="78"/>
      <c r="G8" s="78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7" t="s">
        <v>5</v>
      </c>
      <c r="E11" s="77"/>
      <c r="F11" s="77"/>
      <c r="G11" s="77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7" t="s">
        <v>245</v>
      </c>
      <c r="E13" s="68"/>
      <c r="F13" s="68"/>
      <c r="G13" s="69"/>
      <c r="H13" s="1"/>
      <c r="I13" s="1"/>
    </row>
    <row r="14" spans="1:9" x14ac:dyDescent="0.45">
      <c r="A14" s="1"/>
      <c r="B14" s="1"/>
      <c r="C14" s="6" t="s">
        <v>17</v>
      </c>
      <c r="D14" s="67" t="s">
        <v>246</v>
      </c>
      <c r="E14" s="68"/>
      <c r="F14" s="68"/>
      <c r="G14" s="69"/>
      <c r="H14" s="1"/>
      <c r="I14" s="1"/>
    </row>
    <row r="15" spans="1:9" x14ac:dyDescent="0.45">
      <c r="A15" s="1"/>
      <c r="B15" s="1"/>
      <c r="C15" s="6" t="s">
        <v>37</v>
      </c>
      <c r="D15" s="67" t="s">
        <v>160</v>
      </c>
      <c r="E15" s="68"/>
      <c r="F15" s="68"/>
      <c r="G15" s="69"/>
      <c r="H15" s="1"/>
      <c r="I15" s="1"/>
    </row>
    <row r="16" spans="1:9" x14ac:dyDescent="0.45">
      <c r="A16" s="1"/>
      <c r="B16" s="1"/>
      <c r="C16" s="6" t="s">
        <v>38</v>
      </c>
      <c r="D16" s="67" t="s">
        <v>247</v>
      </c>
      <c r="E16" s="68"/>
      <c r="F16" s="68"/>
      <c r="G16" s="69"/>
      <c r="H16" s="1"/>
      <c r="I16" s="1"/>
    </row>
    <row r="17" spans="1:9" x14ac:dyDescent="0.45">
      <c r="A17" s="1"/>
      <c r="B17" s="1"/>
      <c r="C17" s="6" t="s">
        <v>144</v>
      </c>
      <c r="D17" s="67" t="s">
        <v>248</v>
      </c>
      <c r="E17" s="68"/>
      <c r="F17" s="68"/>
      <c r="G17" s="69"/>
      <c r="H17" s="1"/>
      <c r="I17" s="1"/>
    </row>
    <row r="18" spans="1:9" x14ac:dyDescent="0.45">
      <c r="A18" s="1"/>
      <c r="B18" s="1"/>
      <c r="C18" s="6" t="s">
        <v>124</v>
      </c>
      <c r="D18" s="79" t="s">
        <v>110</v>
      </c>
      <c r="E18" s="80"/>
      <c r="F18" s="80"/>
      <c r="G18" s="81"/>
      <c r="H18" s="1"/>
      <c r="I18" s="1"/>
    </row>
    <row r="19" spans="1:9" x14ac:dyDescent="0.45">
      <c r="A19" s="1"/>
      <c r="B19" s="1"/>
      <c r="C19" s="6" t="s">
        <v>125</v>
      </c>
      <c r="D19" s="79" t="s">
        <v>111</v>
      </c>
      <c r="E19" s="80"/>
      <c r="F19" s="80"/>
      <c r="G19" s="81"/>
      <c r="H19" s="1"/>
      <c r="I19" s="1"/>
    </row>
    <row r="20" spans="1:9" x14ac:dyDescent="0.45">
      <c r="A20" s="1"/>
      <c r="B20" s="1"/>
      <c r="C20" s="6" t="s">
        <v>7</v>
      </c>
      <c r="D20" s="79" t="s">
        <v>10</v>
      </c>
      <c r="E20" s="80"/>
      <c r="F20" s="80"/>
      <c r="G20" s="81"/>
      <c r="H20" s="1"/>
      <c r="I20" s="1"/>
    </row>
    <row r="21" spans="1:9" x14ac:dyDescent="0.45">
      <c r="A21" s="1"/>
      <c r="B21" s="1"/>
      <c r="C21" s="6" t="s">
        <v>126</v>
      </c>
      <c r="D21" s="71" t="s">
        <v>13</v>
      </c>
      <c r="E21" s="72"/>
      <c r="F21" s="72"/>
      <c r="G21" s="73"/>
      <c r="H21" s="1"/>
      <c r="I21" s="1"/>
    </row>
    <row r="22" spans="1:9" x14ac:dyDescent="0.45">
      <c r="A22" s="1"/>
      <c r="B22" s="1"/>
      <c r="C22" s="6" t="s">
        <v>91</v>
      </c>
      <c r="D22" s="74" t="s">
        <v>249</v>
      </c>
      <c r="E22" s="75"/>
      <c r="F22" s="75"/>
      <c r="G22" s="76"/>
      <c r="H22" s="1"/>
      <c r="I22" s="1"/>
    </row>
    <row r="23" spans="1:9" x14ac:dyDescent="0.45">
      <c r="A23" s="1"/>
      <c r="B23" s="1"/>
      <c r="C23" s="6" t="s">
        <v>8</v>
      </c>
      <c r="D23" s="74" t="s">
        <v>195</v>
      </c>
      <c r="E23" s="75"/>
      <c r="F23" s="75"/>
      <c r="G23" s="76"/>
      <c r="H23" s="1"/>
      <c r="I23" s="1"/>
    </row>
    <row r="24" spans="1:9" x14ac:dyDescent="0.45">
      <c r="A24" s="1"/>
      <c r="B24" s="1"/>
      <c r="C24" s="6" t="s">
        <v>9</v>
      </c>
      <c r="D24" s="74" t="s">
        <v>39</v>
      </c>
      <c r="E24" s="75"/>
      <c r="F24" s="75"/>
      <c r="G24" s="76"/>
      <c r="H24" s="1"/>
      <c r="I24" s="1"/>
    </row>
    <row r="25" spans="1:9" x14ac:dyDescent="0.45">
      <c r="A25" s="1"/>
      <c r="B25" s="1"/>
      <c r="C25" s="6" t="s">
        <v>127</v>
      </c>
      <c r="D25" s="74" t="s">
        <v>92</v>
      </c>
      <c r="E25" s="75"/>
      <c r="F25" s="75"/>
      <c r="G25" s="76"/>
      <c r="H25" s="1"/>
      <c r="I25" s="1"/>
    </row>
    <row r="26" spans="1:9" x14ac:dyDescent="0.45">
      <c r="A26" s="1"/>
      <c r="B26" s="1"/>
      <c r="C26" s="6" t="s">
        <v>128</v>
      </c>
      <c r="D26" s="74" t="s">
        <v>93</v>
      </c>
      <c r="E26" s="75"/>
      <c r="F26" s="75"/>
      <c r="G26" s="76"/>
      <c r="H26" s="1"/>
      <c r="I26" s="1"/>
    </row>
    <row r="27" spans="1:9" x14ac:dyDescent="0.45">
      <c r="A27" s="1"/>
      <c r="B27" s="1"/>
      <c r="C27" s="6" t="s">
        <v>129</v>
      </c>
      <c r="D27" s="74" t="s">
        <v>94</v>
      </c>
      <c r="E27" s="75"/>
      <c r="F27" s="75"/>
      <c r="G27" s="76"/>
      <c r="H27" s="1"/>
      <c r="I27" s="1"/>
    </row>
    <row r="28" spans="1:9" x14ac:dyDescent="0.45">
      <c r="A28" s="1"/>
      <c r="B28" s="1"/>
      <c r="C28" s="6" t="s">
        <v>16</v>
      </c>
      <c r="D28" s="74" t="s">
        <v>161</v>
      </c>
      <c r="E28" s="75"/>
      <c r="F28" s="75"/>
      <c r="G28" s="76"/>
      <c r="H28" s="1"/>
      <c r="I28" s="1"/>
    </row>
    <row r="29" spans="1:9" x14ac:dyDescent="0.45">
      <c r="A29" s="1"/>
      <c r="B29" s="1"/>
      <c r="C29" s="6" t="s">
        <v>41</v>
      </c>
      <c r="D29" s="74" t="s">
        <v>40</v>
      </c>
      <c r="E29" s="75"/>
      <c r="F29" s="75"/>
      <c r="G29" s="76"/>
      <c r="H29" s="1"/>
      <c r="I29" s="1"/>
    </row>
    <row r="30" spans="1:9" x14ac:dyDescent="0.45">
      <c r="A30" s="1"/>
      <c r="B30" s="1"/>
      <c r="C30" s="6" t="s">
        <v>42</v>
      </c>
      <c r="D30" s="82" t="s">
        <v>123</v>
      </c>
      <c r="E30" s="83"/>
      <c r="F30" s="83"/>
      <c r="G30" s="84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lTnBBeCV9JPqwMkWzH9rQnK3jczewB78DqdyB7g1V8eLcTFq5LOWoMwSW1sqAyntCuxmRyDN6ezX6uZIwtVVLg==" saltValue="t7nTVDlS6GnVWIBgtjEEh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5" t="s">
        <v>132</v>
      </c>
      <c r="C3" s="85"/>
      <c r="D3" s="85"/>
      <c r="E3" s="1"/>
      <c r="F3" s="1"/>
    </row>
    <row r="4" spans="1:6" ht="15" customHeight="1" x14ac:dyDescent="0.45">
      <c r="A4" s="1"/>
      <c r="B4" s="85"/>
      <c r="C4" s="85"/>
      <c r="D4" s="85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3" t="s">
        <v>208</v>
      </c>
      <c r="C8" s="94"/>
      <c r="D8" s="95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3" t="s">
        <v>262</v>
      </c>
      <c r="C10" s="9">
        <v>1067653.1299999999</v>
      </c>
      <c r="D10" s="14" t="s">
        <v>3</v>
      </c>
      <c r="E10" s="1"/>
      <c r="F10" s="1"/>
    </row>
    <row r="11" spans="1:6" ht="15" customHeight="1" x14ac:dyDescent="0.45">
      <c r="A11" s="1"/>
      <c r="B11" s="63" t="s">
        <v>263</v>
      </c>
      <c r="C11" s="9">
        <v>77608</v>
      </c>
      <c r="D11" s="14" t="s">
        <v>3</v>
      </c>
      <c r="E11" s="1"/>
      <c r="F11" s="1"/>
    </row>
    <row r="12" spans="1:6" ht="15" customHeight="1" x14ac:dyDescent="0.45">
      <c r="A12" s="1"/>
      <c r="B12" s="63" t="s">
        <v>264</v>
      </c>
      <c r="C12" s="9">
        <v>459520</v>
      </c>
      <c r="D12" s="14" t="s">
        <v>3</v>
      </c>
      <c r="E12" s="1"/>
      <c r="F12" s="1"/>
    </row>
    <row r="13" spans="1:6" x14ac:dyDescent="0.45">
      <c r="A13" s="1"/>
      <c r="B13" s="63" t="s">
        <v>265</v>
      </c>
      <c r="C13" s="9">
        <v>54518.37</v>
      </c>
      <c r="D13" s="14" t="s">
        <v>3</v>
      </c>
      <c r="E13" s="1"/>
      <c r="F13" s="1"/>
    </row>
    <row r="14" spans="1:6" x14ac:dyDescent="0.45">
      <c r="A14" s="1"/>
      <c r="B14" s="63" t="s">
        <v>266</v>
      </c>
      <c r="C14" s="9">
        <v>21504.37</v>
      </c>
      <c r="D14" s="14" t="s">
        <v>3</v>
      </c>
      <c r="E14" s="1"/>
      <c r="F14" s="1"/>
    </row>
    <row r="15" spans="1:6" x14ac:dyDescent="0.45">
      <c r="A15" s="1"/>
      <c r="B15" s="63" t="s">
        <v>267</v>
      </c>
      <c r="C15" s="9">
        <v>90448.7</v>
      </c>
      <c r="D15" s="14" t="s">
        <v>3</v>
      </c>
      <c r="E15" s="1"/>
      <c r="F15" s="1"/>
    </row>
    <row r="16" spans="1:6" x14ac:dyDescent="0.45">
      <c r="A16" s="1"/>
      <c r="B16" s="38" t="s">
        <v>209</v>
      </c>
      <c r="C16" s="12">
        <f>SUM(C10:C15)</f>
        <v>1771252.57</v>
      </c>
      <c r="D16" s="13" t="s">
        <v>3</v>
      </c>
      <c r="E16" s="1"/>
      <c r="F16" s="1"/>
    </row>
    <row r="17" spans="1:6" x14ac:dyDescent="0.45">
      <c r="A17" s="1"/>
      <c r="B17" s="38" t="s">
        <v>210</v>
      </c>
      <c r="C17" s="12">
        <f>C16*(1+'Fane 14. Nøgletal'!C14)^2</f>
        <v>1782962.1259024877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93" t="s">
        <v>142</v>
      </c>
      <c r="C20" s="94"/>
      <c r="D20" s="95"/>
      <c r="E20" s="1"/>
      <c r="F20" s="1"/>
    </row>
    <row r="21" spans="1:6" x14ac:dyDescent="0.45">
      <c r="A21" s="1"/>
      <c r="B21" s="63" t="s">
        <v>116</v>
      </c>
      <c r="C21" s="9">
        <v>1045594</v>
      </c>
      <c r="D21" s="14" t="s">
        <v>3</v>
      </c>
      <c r="E21" s="1"/>
      <c r="F21" s="1"/>
    </row>
    <row r="22" spans="1:6" x14ac:dyDescent="0.45">
      <c r="A22" s="1"/>
      <c r="B22" s="63" t="s">
        <v>117</v>
      </c>
      <c r="C22" s="9">
        <v>1045594</v>
      </c>
      <c r="D22" s="14" t="s">
        <v>3</v>
      </c>
      <c r="E22" s="1"/>
      <c r="F22" s="1"/>
    </row>
    <row r="23" spans="1:6" x14ac:dyDescent="0.45">
      <c r="A23" s="1"/>
      <c r="B23" s="63" t="s">
        <v>154</v>
      </c>
      <c r="C23" s="9">
        <v>1045594</v>
      </c>
      <c r="D23" s="14" t="s">
        <v>3</v>
      </c>
      <c r="E23" s="1"/>
      <c r="F23" s="1"/>
    </row>
    <row r="24" spans="1:6" x14ac:dyDescent="0.45">
      <c r="A24" s="1"/>
      <c r="B24" s="63" t="s">
        <v>211</v>
      </c>
      <c r="C24" s="9">
        <v>1045594</v>
      </c>
      <c r="D24" s="14" t="s">
        <v>3</v>
      </c>
      <c r="E24" s="1"/>
      <c r="F24" s="1"/>
    </row>
    <row r="25" spans="1:6" x14ac:dyDescent="0.45">
      <c r="A25" s="1"/>
      <c r="B25" s="93"/>
      <c r="C25" s="94"/>
      <c r="D25" s="95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93" t="s">
        <v>115</v>
      </c>
      <c r="C28" s="94"/>
      <c r="D28" s="95"/>
      <c r="E28" s="1"/>
      <c r="F28" s="1"/>
    </row>
    <row r="29" spans="1:6" x14ac:dyDescent="0.45">
      <c r="A29" s="1"/>
      <c r="B29" s="63" t="s">
        <v>116</v>
      </c>
      <c r="C29" s="9">
        <v>750000</v>
      </c>
      <c r="D29" s="14" t="s">
        <v>3</v>
      </c>
      <c r="E29" s="1"/>
      <c r="F29" s="1"/>
    </row>
    <row r="30" spans="1:6" x14ac:dyDescent="0.45">
      <c r="A30" s="1"/>
      <c r="B30" s="63" t="s">
        <v>117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63" t="s">
        <v>154</v>
      </c>
      <c r="C31" s="9">
        <v>0</v>
      </c>
      <c r="D31" s="14" t="s">
        <v>3</v>
      </c>
      <c r="E31" s="1"/>
      <c r="F31" s="1"/>
    </row>
    <row r="32" spans="1:6" x14ac:dyDescent="0.45">
      <c r="A32" s="1"/>
      <c r="B32" s="63" t="s">
        <v>211</v>
      </c>
      <c r="C32" s="9">
        <v>0</v>
      </c>
      <c r="D32" s="14" t="s">
        <v>3</v>
      </c>
      <c r="E32" s="1"/>
      <c r="F32" s="1"/>
    </row>
    <row r="33" spans="1:6" x14ac:dyDescent="0.45">
      <c r="A33" s="1"/>
      <c r="B33" s="93"/>
      <c r="C33" s="94"/>
      <c r="D33" s="95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hVgaOYzo06hBN9BqJ0YTWiPcB8c6AN3zwuW+9/yiMbzz9QLxyQENrqhqF3IShvmvzUnqjO5SaGbZMbuyoqSaIw==" saltValue="HcKlrt6HydvHZtG0dGuysw==" spinCount="100000" sheet="1" objects="1" scenarios="1"/>
  <mergeCells count="6">
    <mergeCell ref="B33:D33"/>
    <mergeCell ref="B3:D4"/>
    <mergeCell ref="B8:D8"/>
    <mergeCell ref="B20:D20"/>
    <mergeCell ref="B28:D28"/>
    <mergeCell ref="B25:D25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1" t="s">
        <v>212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ht="15" customHeight="1" x14ac:dyDescent="0.45">
      <c r="A5" s="1"/>
      <c r="B5" s="51"/>
      <c r="C5" s="51"/>
      <c r="D5" s="51"/>
      <c r="E5" s="51"/>
      <c r="F5" s="51"/>
      <c r="G5" s="1"/>
    </row>
    <row r="6" spans="1:7" ht="15" customHeight="1" x14ac:dyDescent="0.45">
      <c r="A6" s="1"/>
      <c r="B6" s="51"/>
      <c r="C6" s="51"/>
      <c r="D6" s="51"/>
      <c r="E6" s="51"/>
      <c r="F6" s="5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269</v>
      </c>
      <c r="C8" s="94"/>
      <c r="D8" s="94"/>
      <c r="E8" s="94"/>
      <c r="F8" s="95"/>
      <c r="G8" s="1"/>
    </row>
    <row r="9" spans="1:7" x14ac:dyDescent="0.45">
      <c r="A9" s="1"/>
      <c r="B9" s="102" t="s">
        <v>270</v>
      </c>
      <c r="C9" s="103"/>
      <c r="D9" s="104"/>
      <c r="E9" s="9">
        <v>10411486.097141698</v>
      </c>
      <c r="F9" s="14" t="s">
        <v>3</v>
      </c>
      <c r="G9" s="1"/>
    </row>
    <row r="10" spans="1:7" x14ac:dyDescent="0.45">
      <c r="A10" s="1"/>
      <c r="B10" s="102" t="s">
        <v>271</v>
      </c>
      <c r="C10" s="103"/>
      <c r="D10" s="104"/>
      <c r="E10" s="9">
        <v>-8248838.3149921149</v>
      </c>
      <c r="F10" s="14" t="s">
        <v>3</v>
      </c>
      <c r="G10" s="1"/>
    </row>
    <row r="11" spans="1:7" x14ac:dyDescent="0.45">
      <c r="A11" s="1"/>
      <c r="B11" s="102" t="s">
        <v>272</v>
      </c>
      <c r="C11" s="103"/>
      <c r="D11" s="104"/>
      <c r="E11" s="9">
        <v>0</v>
      </c>
      <c r="F11" s="14" t="s">
        <v>3</v>
      </c>
      <c r="G11" s="1"/>
    </row>
    <row r="12" spans="1:7" x14ac:dyDescent="0.45">
      <c r="A12" s="1"/>
      <c r="B12" s="102" t="s">
        <v>273</v>
      </c>
      <c r="C12" s="103"/>
      <c r="D12" s="104"/>
      <c r="E12" s="9">
        <v>2713161.4873304218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6" t="s">
        <v>274</v>
      </c>
      <c r="C14" s="97"/>
      <c r="D14" s="97"/>
      <c r="E14" s="97"/>
      <c r="F14" s="98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3" t="s">
        <v>275</v>
      </c>
      <c r="C16" s="94"/>
      <c r="D16" s="94"/>
      <c r="E16" s="94"/>
      <c r="F16" s="95"/>
      <c r="G16" s="1"/>
    </row>
    <row r="17" spans="1:7" x14ac:dyDescent="0.45">
      <c r="A17" s="1"/>
      <c r="B17" s="102" t="s">
        <v>276</v>
      </c>
      <c r="C17" s="103"/>
      <c r="D17" s="104"/>
      <c r="E17" s="9">
        <v>0</v>
      </c>
      <c r="F17" s="14" t="s">
        <v>3</v>
      </c>
      <c r="G17" s="1"/>
    </row>
    <row r="18" spans="1:7" x14ac:dyDescent="0.45">
      <c r="A18" s="1"/>
      <c r="B18" s="102" t="s">
        <v>277</v>
      </c>
      <c r="C18" s="103"/>
      <c r="D18" s="104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6" t="s">
        <v>278</v>
      </c>
      <c r="C20" s="97"/>
      <c r="D20" s="97"/>
      <c r="E20" s="97"/>
      <c r="F20" s="98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5" t="s">
        <v>213</v>
      </c>
      <c r="C22" s="56"/>
      <c r="D22" s="56"/>
      <c r="E22" s="56"/>
      <c r="F22" s="57"/>
      <c r="G22" s="1"/>
    </row>
    <row r="23" spans="1:7" x14ac:dyDescent="0.45">
      <c r="A23" s="1"/>
      <c r="B23" s="60" t="s">
        <v>214</v>
      </c>
      <c r="C23" s="61"/>
      <c r="D23" s="62"/>
      <c r="E23" s="9">
        <v>73943156.718890771</v>
      </c>
      <c r="F23" s="14" t="s">
        <v>3</v>
      </c>
      <c r="G23" s="1"/>
    </row>
    <row r="24" spans="1:7" x14ac:dyDescent="0.45">
      <c r="A24" s="1"/>
      <c r="B24" s="60" t="s">
        <v>215</v>
      </c>
      <c r="C24" s="61"/>
      <c r="D24" s="62"/>
      <c r="E24" s="9">
        <v>67896041.329999998</v>
      </c>
      <c r="F24" s="14" t="s">
        <v>3</v>
      </c>
      <c r="G24" s="1"/>
    </row>
    <row r="25" spans="1:7" x14ac:dyDescent="0.45">
      <c r="A25" s="1"/>
      <c r="B25" s="60" t="s">
        <v>36</v>
      </c>
      <c r="C25" s="61"/>
      <c r="D25" s="62"/>
      <c r="E25" s="9">
        <v>0</v>
      </c>
      <c r="F25" s="14" t="s">
        <v>3</v>
      </c>
      <c r="G25" s="1"/>
    </row>
    <row r="26" spans="1:7" x14ac:dyDescent="0.45">
      <c r="A26" s="1"/>
      <c r="B26" s="58" t="s">
        <v>279</v>
      </c>
      <c r="C26" s="59"/>
      <c r="D26" s="65"/>
      <c r="E26" s="47">
        <f>E23-(E24-E25)</f>
        <v>6047115.3888907731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3" t="s">
        <v>186</v>
      </c>
      <c r="C30" s="94"/>
      <c r="D30" s="94"/>
      <c r="E30" s="94"/>
      <c r="F30" s="95"/>
      <c r="G30" s="1"/>
    </row>
    <row r="31" spans="1:7" x14ac:dyDescent="0.45">
      <c r="A31" s="1"/>
      <c r="B31" s="118" t="s">
        <v>284</v>
      </c>
      <c r="C31" s="119"/>
      <c r="D31" s="120"/>
      <c r="E31" s="9">
        <v>0</v>
      </c>
      <c r="F31" s="14"/>
      <c r="G31" s="1"/>
    </row>
    <row r="32" spans="1:7" x14ac:dyDescent="0.45">
      <c r="A32" s="1"/>
      <c r="B32" s="118" t="s">
        <v>187</v>
      </c>
      <c r="C32" s="119"/>
      <c r="D32" s="120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8" t="s">
        <v>120</v>
      </c>
      <c r="C33" s="119"/>
      <c r="D33" s="120"/>
      <c r="E33" s="9">
        <v>2</v>
      </c>
      <c r="F33" s="14" t="s">
        <v>21</v>
      </c>
      <c r="G33" s="1"/>
    </row>
    <row r="34" spans="1:7" x14ac:dyDescent="0.45">
      <c r="A34" s="1"/>
      <c r="B34" s="114" t="s">
        <v>188</v>
      </c>
      <c r="C34" s="114"/>
      <c r="D34" s="114"/>
      <c r="E34" s="10">
        <f>E32/E33</f>
        <v>0</v>
      </c>
      <c r="F34" s="17" t="s">
        <v>3</v>
      </c>
      <c r="G34" s="1"/>
    </row>
    <row r="35" spans="1:7" x14ac:dyDescent="0.45">
      <c r="A35" s="1"/>
      <c r="B35" s="115"/>
      <c r="C35" s="116"/>
      <c r="D35" s="116"/>
      <c r="E35" s="116"/>
      <c r="F35" s="117"/>
      <c r="G35" s="1"/>
    </row>
    <row r="36" spans="1:7" ht="75" customHeight="1" x14ac:dyDescent="0.45">
      <c r="A36" s="1"/>
      <c r="B36" s="96" t="s">
        <v>283</v>
      </c>
      <c r="C36" s="97"/>
      <c r="D36" s="97"/>
      <c r="E36" s="97"/>
      <c r="F36" s="98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3hBiugZf72t65xa824A3Bt+MA6E3DY73ADo0Ufvtc/DNC2Ikc7N0ujhA+WMmhV+RbHFTCbeXgcv1Z7rQ3KGeJw==" saltValue="ORTGGHju/H3ZtjvX+veEEg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1" t="s">
        <v>216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3" t="s">
        <v>217</v>
      </c>
      <c r="C9" s="94"/>
      <c r="D9" s="94"/>
      <c r="E9" s="94"/>
      <c r="F9" s="95"/>
      <c r="G9" s="1"/>
    </row>
    <row r="10" spans="1:7" x14ac:dyDescent="0.45">
      <c r="A10" s="1"/>
      <c r="B10" s="96" t="s">
        <v>118</v>
      </c>
      <c r="C10" s="97"/>
      <c r="D10" s="98"/>
      <c r="E10" s="7">
        <v>0</v>
      </c>
      <c r="F10" s="8" t="s">
        <v>3</v>
      </c>
      <c r="G10" s="1"/>
    </row>
    <row r="11" spans="1:7" x14ac:dyDescent="0.45">
      <c r="A11" s="1"/>
      <c r="B11" s="102" t="s">
        <v>218</v>
      </c>
      <c r="C11" s="103"/>
      <c r="D11" s="104"/>
      <c r="E11" s="7">
        <v>0</v>
      </c>
      <c r="F11" s="8" t="s">
        <v>3</v>
      </c>
      <c r="G11" s="1"/>
    </row>
    <row r="12" spans="1:7" x14ac:dyDescent="0.45">
      <c r="A12" s="1"/>
      <c r="B12" s="99" t="s">
        <v>119</v>
      </c>
      <c r="C12" s="100"/>
      <c r="D12" s="121"/>
      <c r="E12" s="10">
        <f>E11-E10</f>
        <v>0</v>
      </c>
      <c r="F12" s="11" t="s">
        <v>3</v>
      </c>
      <c r="G12" s="1"/>
    </row>
    <row r="13" spans="1:7" x14ac:dyDescent="0.45">
      <c r="A13" s="1"/>
      <c r="B13" s="93" t="s">
        <v>109</v>
      </c>
      <c r="C13" s="94"/>
      <c r="D13" s="94"/>
      <c r="E13" s="94"/>
      <c r="F13" s="95"/>
      <c r="G13" s="1"/>
    </row>
    <row r="14" spans="1:7" x14ac:dyDescent="0.45">
      <c r="A14" s="1"/>
      <c r="B14" s="102" t="s">
        <v>219</v>
      </c>
      <c r="C14" s="103"/>
      <c r="D14" s="104"/>
      <c r="E14" s="9">
        <v>1045594</v>
      </c>
      <c r="F14" s="8" t="s">
        <v>3</v>
      </c>
      <c r="G14" s="1"/>
    </row>
    <row r="15" spans="1:7" x14ac:dyDescent="0.45">
      <c r="A15" s="1"/>
      <c r="B15" s="96" t="s">
        <v>220</v>
      </c>
      <c r="C15" s="97"/>
      <c r="D15" s="98"/>
      <c r="E15" s="9">
        <v>680192.64</v>
      </c>
      <c r="F15" s="8" t="s">
        <v>3</v>
      </c>
      <c r="G15" s="1"/>
    </row>
    <row r="16" spans="1:7" x14ac:dyDescent="0.45">
      <c r="A16" s="1"/>
      <c r="B16" s="99" t="s">
        <v>119</v>
      </c>
      <c r="C16" s="100"/>
      <c r="D16" s="121"/>
      <c r="E16" s="10">
        <f>E15-E14</f>
        <v>-365401.36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-365401.36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yhApej98jmOt+QbrtcAvxW/+vf9DIJ74NeYeCSDoJWhOPVJkQhYyahDQFcR2f4y9avfRWj0mYh7AWmMMeZKmFw==" saltValue="NUWq+vAzj+CUOvBLZ7FITw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177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178</v>
      </c>
      <c r="C8" s="94"/>
      <c r="D8" s="94"/>
      <c r="E8" s="94"/>
      <c r="F8" s="94"/>
      <c r="G8" s="94"/>
      <c r="H8" s="95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6" t="s">
        <v>285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3" t="s">
        <v>179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0PxS/kU3vHCP8ZlMwBFgA3w32NS4mWgdXHvvB0GDlrgXTHbk8v53xbkFQcKPjb5U/3uVdsbmZV8Zve6elnzjA==" saltValue="oTPvRtnVL5UD2Y6CDltPd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135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25" t="s">
        <v>281</v>
      </c>
      <c r="C11" s="22">
        <v>0</v>
      </c>
      <c r="D11" s="14" t="s">
        <v>3</v>
      </c>
      <c r="E11" s="9">
        <v>81719</v>
      </c>
      <c r="F11" s="14" t="s">
        <v>3</v>
      </c>
      <c r="G11" s="1"/>
    </row>
    <row r="12" spans="1:7" x14ac:dyDescent="0.45">
      <c r="A12" s="1"/>
      <c r="B12" s="38" t="s">
        <v>163</v>
      </c>
      <c r="C12" s="12">
        <f>SUM(C10:C11)</f>
        <v>0</v>
      </c>
      <c r="D12" s="13" t="s">
        <v>3</v>
      </c>
      <c r="E12" s="12">
        <f>SUM(E10:E11)</f>
        <v>81719</v>
      </c>
      <c r="F12" s="13" t="s">
        <v>3</v>
      </c>
      <c r="G12" s="1"/>
    </row>
    <row r="13" spans="1:7" x14ac:dyDescent="0.45">
      <c r="A13" s="1"/>
      <c r="B13" s="38" t="s">
        <v>222</v>
      </c>
      <c r="C13" s="12">
        <f>C12*(1+'Fane 14. Nøgletal'!C14)</f>
        <v>0</v>
      </c>
      <c r="D13" s="13" t="s">
        <v>3</v>
      </c>
      <c r="E13" s="12">
        <f>E12*(1+'Fane 14. Nøgletal'!C14)</f>
        <v>81988.67270000001</v>
      </c>
      <c r="F13" s="13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Vnd7YgwOPrDflPdSutwUlHJb5hZWBecoZlURHZJxWNiknhCZ3wKwxcLbCfIqOhtmS0JqvnCDAOfJN8KlIpUQfA==" saltValue="Eynx+9vNMyDKhhL9Fkjn2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5" t="s">
        <v>134</v>
      </c>
      <c r="C3" s="85"/>
      <c r="D3" s="85"/>
      <c r="E3" s="85"/>
      <c r="F3" s="85"/>
      <c r="G3" s="1"/>
    </row>
    <row r="4" spans="1:7" ht="15" customHeight="1" x14ac:dyDescent="0.45">
      <c r="A4" s="1"/>
      <c r="B4" s="85"/>
      <c r="C4" s="85"/>
      <c r="D4" s="85"/>
      <c r="E4" s="85"/>
      <c r="F4" s="85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112</v>
      </c>
      <c r="C8" s="94"/>
      <c r="D8" s="94"/>
      <c r="E8" s="94"/>
      <c r="F8" s="95"/>
      <c r="G8" s="1"/>
    </row>
    <row r="9" spans="1:7" x14ac:dyDescent="0.45">
      <c r="A9" s="1"/>
      <c r="B9" s="53" t="s">
        <v>18</v>
      </c>
      <c r="C9" s="53" t="s">
        <v>12</v>
      </c>
      <c r="D9" s="54"/>
      <c r="E9" s="53" t="s">
        <v>34</v>
      </c>
      <c r="F9" s="37"/>
      <c r="G9" s="1"/>
    </row>
    <row r="10" spans="1:7" x14ac:dyDescent="0.45">
      <c r="A10" s="1"/>
      <c r="B10" s="25" t="s">
        <v>282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3" t="s">
        <v>113</v>
      </c>
      <c r="C16" s="94"/>
      <c r="D16" s="94"/>
      <c r="E16" s="94"/>
      <c r="F16" s="95"/>
      <c r="G16" s="1"/>
    </row>
    <row r="17" spans="1:7" x14ac:dyDescent="0.45">
      <c r="A17" s="1"/>
      <c r="B17" s="53" t="s">
        <v>18</v>
      </c>
      <c r="C17" s="53" t="s">
        <v>12</v>
      </c>
      <c r="D17" s="54"/>
      <c r="E17" s="53" t="s">
        <v>34</v>
      </c>
      <c r="F17" s="37"/>
      <c r="G17" s="1"/>
    </row>
    <row r="18" spans="1:7" x14ac:dyDescent="0.45">
      <c r="A18" s="1"/>
      <c r="B18" s="25" t="s">
        <v>282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3" t="s">
        <v>166</v>
      </c>
      <c r="C24" s="94"/>
      <c r="D24" s="94"/>
      <c r="E24" s="94"/>
      <c r="F24" s="95"/>
      <c r="G24" s="1"/>
    </row>
    <row r="25" spans="1:7" x14ac:dyDescent="0.45">
      <c r="A25" s="1"/>
      <c r="B25" s="53" t="s">
        <v>18</v>
      </c>
      <c r="C25" s="53" t="s">
        <v>12</v>
      </c>
      <c r="D25" s="54"/>
      <c r="E25" s="53" t="s">
        <v>34</v>
      </c>
      <c r="F25" s="37"/>
      <c r="G25" s="1"/>
    </row>
    <row r="26" spans="1:7" x14ac:dyDescent="0.45">
      <c r="A26" s="1"/>
      <c r="B26" s="25" t="s">
        <v>282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3" t="s">
        <v>224</v>
      </c>
      <c r="C32" s="94"/>
      <c r="D32" s="94"/>
      <c r="E32" s="94"/>
      <c r="F32" s="95"/>
      <c r="G32" s="1"/>
    </row>
    <row r="33" spans="1:7" x14ac:dyDescent="0.45">
      <c r="A33" s="1"/>
      <c r="B33" s="53" t="s">
        <v>18</v>
      </c>
      <c r="C33" s="53" t="s">
        <v>12</v>
      </c>
      <c r="D33" s="54"/>
      <c r="E33" s="53" t="s">
        <v>34</v>
      </c>
      <c r="F33" s="37"/>
      <c r="G33" s="1"/>
    </row>
    <row r="34" spans="1:7" x14ac:dyDescent="0.45">
      <c r="A34" s="1"/>
      <c r="B34" s="25" t="s">
        <v>282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lb2ewiCiHIq10ZDY//4PYdx8Uo9bat5U3dpRj2/5sPNql7JVJ4Syr0NoszwC5xtrTDXx+m+D7J47CogdxjmhQ==" saltValue="QqGixUi0q2hoAEkV2/dpC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136</v>
      </c>
      <c r="C3" s="101"/>
      <c r="D3" s="101"/>
      <c r="E3" s="101"/>
      <c r="F3" s="101"/>
      <c r="G3" s="1"/>
    </row>
    <row r="4" spans="1:7" ht="1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01"/>
      <c r="C5" s="101"/>
      <c r="D5" s="101"/>
      <c r="E5" s="101"/>
      <c r="F5" s="10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103</v>
      </c>
      <c r="C8" s="94"/>
      <c r="D8" s="94"/>
      <c r="E8" s="94"/>
      <c r="F8" s="95"/>
      <c r="G8" s="1"/>
    </row>
    <row r="9" spans="1:7" x14ac:dyDescent="0.45">
      <c r="A9" s="1"/>
      <c r="B9" s="122" t="s">
        <v>226</v>
      </c>
      <c r="C9" s="123"/>
      <c r="D9" s="124"/>
      <c r="E9" s="9">
        <v>0</v>
      </c>
      <c r="F9" s="14" t="s">
        <v>3</v>
      </c>
      <c r="G9" s="1"/>
    </row>
    <row r="10" spans="1:7" x14ac:dyDescent="0.45">
      <c r="A10" s="1"/>
      <c r="B10" s="87" t="s">
        <v>10</v>
      </c>
      <c r="C10" s="88"/>
      <c r="D10" s="89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7" t="s">
        <v>26</v>
      </c>
      <c r="C11" s="88"/>
      <c r="D11" s="89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3" t="s">
        <v>105</v>
      </c>
      <c r="C12" s="94"/>
      <c r="D12" s="95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104</v>
      </c>
      <c r="C14" s="94"/>
      <c r="D14" s="94"/>
      <c r="E14" s="94"/>
      <c r="F14" s="95"/>
      <c r="G14" s="1"/>
    </row>
    <row r="15" spans="1:7" ht="15" customHeight="1" x14ac:dyDescent="0.45">
      <c r="A15" s="1"/>
      <c r="B15" s="122" t="s">
        <v>226</v>
      </c>
      <c r="C15" s="123"/>
      <c r="D15" s="124"/>
      <c r="E15" s="9">
        <v>0</v>
      </c>
      <c r="F15" s="14" t="s">
        <v>3</v>
      </c>
      <c r="G15" s="1"/>
    </row>
    <row r="16" spans="1:7" x14ac:dyDescent="0.45">
      <c r="A16" s="1"/>
      <c r="B16" s="87" t="s">
        <v>10</v>
      </c>
      <c r="C16" s="88"/>
      <c r="D16" s="89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7" t="s">
        <v>26</v>
      </c>
      <c r="C17" s="88"/>
      <c r="D17" s="89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3" t="s">
        <v>106</v>
      </c>
      <c r="C18" s="94"/>
      <c r="D18" s="95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155</v>
      </c>
      <c r="C20" s="94"/>
      <c r="D20" s="94"/>
      <c r="E20" s="94"/>
      <c r="F20" s="95"/>
      <c r="G20" s="1"/>
    </row>
    <row r="21" spans="1:7" ht="15" customHeight="1" x14ac:dyDescent="0.45">
      <c r="A21" s="1"/>
      <c r="B21" s="122" t="s">
        <v>226</v>
      </c>
      <c r="C21" s="123"/>
      <c r="D21" s="124"/>
      <c r="E21" s="9">
        <v>0</v>
      </c>
      <c r="F21" s="14" t="s">
        <v>3</v>
      </c>
      <c r="G21" s="1"/>
    </row>
    <row r="22" spans="1:7" x14ac:dyDescent="0.45">
      <c r="A22" s="1"/>
      <c r="B22" s="87" t="s">
        <v>10</v>
      </c>
      <c r="C22" s="88"/>
      <c r="D22" s="89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7" t="s">
        <v>26</v>
      </c>
      <c r="C23" s="88"/>
      <c r="D23" s="89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3" t="s">
        <v>156</v>
      </c>
      <c r="C24" s="94"/>
      <c r="D24" s="95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227</v>
      </c>
      <c r="C26" s="94"/>
      <c r="D26" s="94"/>
      <c r="E26" s="94"/>
      <c r="F26" s="95"/>
      <c r="G26" s="1"/>
    </row>
    <row r="27" spans="1:7" ht="15" customHeight="1" x14ac:dyDescent="0.45">
      <c r="A27" s="1"/>
      <c r="B27" s="122" t="s">
        <v>226</v>
      </c>
      <c r="C27" s="123"/>
      <c r="D27" s="124"/>
      <c r="E27" s="9">
        <v>0</v>
      </c>
      <c r="F27" s="14" t="s">
        <v>3</v>
      </c>
      <c r="G27" s="1"/>
    </row>
    <row r="28" spans="1:7" x14ac:dyDescent="0.45">
      <c r="A28" s="1"/>
      <c r="B28" s="87" t="s">
        <v>10</v>
      </c>
      <c r="C28" s="88"/>
      <c r="D28" s="89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7" t="s">
        <v>26</v>
      </c>
      <c r="C29" s="88"/>
      <c r="D29" s="89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3" t="s">
        <v>228</v>
      </c>
      <c r="C30" s="94"/>
      <c r="D30" s="95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JOQMZ56OnBrmxlX1gJBYSAM9KsOSGrDoBBwwiQvOwzCBIi7Qr4K8SbG6+UnrSa3SAtviDDx70Wsp0tVvv4ytUw==" saltValue="zeMOoHzhXNR0vFgXrV8XA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157</v>
      </c>
      <c r="C3" s="101"/>
      <c r="D3" s="101"/>
      <c r="E3" s="101"/>
      <c r="F3" s="101"/>
      <c r="G3" s="1"/>
    </row>
    <row r="4" spans="1:7" ht="25.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158</v>
      </c>
      <c r="C8" s="94"/>
      <c r="D8" s="94"/>
      <c r="E8" s="94"/>
      <c r="F8" s="95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43wkMoWQucQelZGqP3GNo4TbCVQIv1efHXa/nPLYXjtcE8wbd2iaotvV9/3LYyIONFkmeXpLiwHQshzBtGb7GA==" saltValue="tGXWshhMEoPElOTc7ctRB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133</v>
      </c>
      <c r="C3" s="101"/>
      <c r="D3" s="101"/>
      <c r="E3" s="101"/>
      <c r="F3" s="101"/>
      <c r="G3" s="1"/>
    </row>
    <row r="4" spans="1:7" ht="25.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3" t="s">
        <v>107</v>
      </c>
      <c r="C8" s="94"/>
      <c r="D8" s="94"/>
      <c r="E8" s="94"/>
      <c r="F8" s="95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3" t="s">
        <v>108</v>
      </c>
      <c r="C14" s="94"/>
      <c r="D14" s="94"/>
      <c r="E14" s="94"/>
      <c r="F14" s="95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3" t="s">
        <v>169</v>
      </c>
      <c r="C20" s="94"/>
      <c r="D20" s="94"/>
      <c r="E20" s="94"/>
      <c r="F20" s="95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3" t="s">
        <v>231</v>
      </c>
      <c r="C26" s="94"/>
      <c r="D26" s="94"/>
      <c r="E26" s="94"/>
      <c r="F26" s="95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PSo1HI5ok7tXNBOZqtgrYKvS0ZuGMgf1DaIx7MxKui5++Gb/mNcx7TdLSM/CsefiwSiyROzDIJGNrnJ/4PKaMQ==" saltValue="oHo6YH6Xv9FeoHb/XW99+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1" t="s">
        <v>189</v>
      </c>
      <c r="C3" s="101"/>
      <c r="D3" s="1"/>
    </row>
    <row r="4" spans="1:4" ht="25.5" customHeight="1" x14ac:dyDescent="0.45">
      <c r="A4" s="1"/>
      <c r="B4" s="101"/>
      <c r="C4" s="101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3" t="s">
        <v>137</v>
      </c>
      <c r="C9" s="26">
        <v>1.2699999999999999E-2</v>
      </c>
      <c r="D9" s="1"/>
    </row>
    <row r="10" spans="1:4" x14ac:dyDescent="0.45">
      <c r="A10" s="1"/>
      <c r="B10" s="63" t="s">
        <v>138</v>
      </c>
      <c r="C10" s="26">
        <v>1.7500000000000002E-2</v>
      </c>
      <c r="D10" s="1"/>
    </row>
    <row r="11" spans="1:4" x14ac:dyDescent="0.45">
      <c r="A11" s="1"/>
      <c r="B11" s="63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3" t="s">
        <v>253</v>
      </c>
      <c r="C14" s="49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3" t="s">
        <v>139</v>
      </c>
      <c r="C19" s="23">
        <v>9.1000000000000004E-3</v>
      </c>
      <c r="D19" s="1"/>
    </row>
    <row r="20" spans="1:4" x14ac:dyDescent="0.45">
      <c r="A20" s="1"/>
      <c r="B20" s="63" t="s">
        <v>190</v>
      </c>
      <c r="C20" s="23">
        <v>1.77E-2</v>
      </c>
      <c r="D20" s="1"/>
    </row>
    <row r="21" spans="1:4" x14ac:dyDescent="0.45">
      <c r="A21" s="1"/>
      <c r="B21" s="63" t="s">
        <v>191</v>
      </c>
      <c r="C21" s="23">
        <v>8.6999999999999994E-3</v>
      </c>
      <c r="D21" s="1"/>
    </row>
    <row r="22" spans="1:4" x14ac:dyDescent="0.45">
      <c r="A22" s="1"/>
      <c r="B22" s="63" t="s">
        <v>140</v>
      </c>
      <c r="C22" s="41">
        <v>2.8400000000000002E-2</v>
      </c>
      <c r="D22" s="1"/>
    </row>
    <row r="23" spans="1:4" x14ac:dyDescent="0.45">
      <c r="A23" s="1"/>
      <c r="B23" s="63" t="s">
        <v>192</v>
      </c>
      <c r="C23" s="41">
        <v>2.75E-2</v>
      </c>
      <c r="D23" s="1"/>
    </row>
    <row r="24" spans="1:4" x14ac:dyDescent="0.45">
      <c r="A24" s="1"/>
      <c r="B24" s="63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3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E62DqSA9JjhQy9x/CcL4cjVKkrek5ud1sYwf1Q+8KUwSrgk16xiUIn362KarQfW0yQC5FY2VnWJzAok4Xqdf2A==" saltValue="knNG4c87u/b60iuiEmr8s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194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66460970.284692459</v>
      </c>
      <c r="D9" s="8" t="s">
        <v>3</v>
      </c>
      <c r="E9" s="1"/>
    </row>
    <row r="10" spans="1:5" ht="17.100000000000001" customHeight="1" x14ac:dyDescent="0.45">
      <c r="A10" s="1"/>
      <c r="B10" s="52" t="s">
        <v>43</v>
      </c>
      <c r="C10" s="7">
        <f>'Fane 10.1. Varige tillæg'!C13</f>
        <v>0</v>
      </c>
      <c r="D10" s="8" t="s">
        <v>3</v>
      </c>
      <c r="E10" s="1"/>
    </row>
    <row r="11" spans="1:5" ht="17.100000000000001" customHeight="1" x14ac:dyDescent="0.45">
      <c r="A11" s="1"/>
      <c r="B11" s="52" t="s">
        <v>44</v>
      </c>
      <c r="C11" s="9">
        <f>'Fane 10.1. Varige tillæg'!E13</f>
        <v>81988.67270000001</v>
      </c>
      <c r="D11" s="8" t="s">
        <v>3</v>
      </c>
      <c r="E11" s="1"/>
    </row>
    <row r="12" spans="1:5" ht="17.100000000000001" customHeight="1" x14ac:dyDescent="0.45">
      <c r="A12" s="1"/>
      <c r="B12" s="52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2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2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2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2" t="s">
        <v>20</v>
      </c>
      <c r="C16" s="9">
        <f>SUM(C9:C15)*'Fane 14. Nøgletal'!C14</f>
        <v>219591.76455939512</v>
      </c>
      <c r="D16" s="8" t="s">
        <v>3</v>
      </c>
      <c r="E16" s="1"/>
    </row>
    <row r="17" spans="1:5" ht="17.100000000000001" customHeight="1" x14ac:dyDescent="0.45">
      <c r="A17" s="1"/>
      <c r="B17" s="52" t="s">
        <v>10</v>
      </c>
      <c r="C17" s="9">
        <f>-SUM(C9:C16)*'Fane 5. Individuelt eff. krav'!G12</f>
        <v>-159746.79952069186</v>
      </c>
      <c r="D17" s="8" t="s">
        <v>3</v>
      </c>
      <c r="E17" s="1"/>
    </row>
    <row r="18" spans="1:5" ht="17.100000000000001" customHeight="1" x14ac:dyDescent="0.45">
      <c r="A18" s="1"/>
      <c r="B18" s="52" t="s">
        <v>26</v>
      </c>
      <c r="C18" s="9">
        <f>-'Fane 4.1. Gen. krav - drift'!G38</f>
        <v>-555735.97304090357</v>
      </c>
      <c r="D18" s="8" t="s">
        <v>3</v>
      </c>
      <c r="E18" s="1"/>
    </row>
    <row r="19" spans="1:5" ht="17.100000000000001" customHeight="1" x14ac:dyDescent="0.45">
      <c r="A19" s="1"/>
      <c r="B19" s="52" t="s">
        <v>27</v>
      </c>
      <c r="C19" s="9">
        <f>-'Fane 4.2. Gen. krav - anlæg'!G37</f>
        <v>-587027.89862989122</v>
      </c>
      <c r="D19" s="8" t="s">
        <v>3</v>
      </c>
      <c r="E19" s="1"/>
    </row>
    <row r="20" spans="1:5" ht="17.100000000000001" customHeight="1" x14ac:dyDescent="0.45">
      <c r="A20" s="1"/>
      <c r="B20" s="58" t="s">
        <v>22</v>
      </c>
      <c r="C20" s="10">
        <f>SUM(C9:C19)</f>
        <v>65460040.050760373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omk.'!C17+'Fane 6. Ikke-påvirkelige omk.'!C21+'Fane 6. Ikke-påvirkelige omk.'!C29</f>
        <v>3578556.1259024879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8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2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2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8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287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-365401.36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4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68673194.816662863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Dt6NaGBz/+XedXOgJoldhC+ZrWjWKoezU2UrRlW0ZmGRjv69OBvna8Ds/SaToEfG5Ajno3S3uiXGxKsMek6RYA==" saltValue="ivrSv9vI9sJRo5XjfPHct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196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65460040.050760373</v>
      </c>
      <c r="D9" s="8" t="s">
        <v>3</v>
      </c>
      <c r="E9" s="1"/>
    </row>
    <row r="10" spans="1:5" ht="15" customHeight="1" x14ac:dyDescent="0.45">
      <c r="A10" s="1"/>
      <c r="B10" s="52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2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216018.13216750923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-157147.08300394227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drift'!G45</f>
        <v>-546418.50371689978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-580248.40735307848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64392244.188853957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Nøgletal'!C14)+'Fane 6. Ikke-påvirkelige omk.'!C22+'Fane 6. Ikke-påvirkelige omk.'!C30</f>
        <v>2834439.9009179659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287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4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67226684.089771926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JLL5ZBFggshFKnaYy8GQEmJTEkMkUM26ZZLs5jlWY0U8f8DJVL5NVnEVy+PwHTvKRYp3Myv7kmt+79kewndYxQ==" saltValue="SnWk+wJscbVGGPPrPsb5n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197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64392244.188853957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212494.40582321805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-154583.67172566999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drift'!G53</f>
        <v>-537257.25108358241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-573547.21133630292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63339350.460531622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Nøgletal'!C14)^2+'Fane 6. Ikke-påvirkelige omk.'!C23+'Fane 6. Ikke-påvirkelige omk.'!C31</f>
        <v>2840343.0923909955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66179693.552922621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ILfJp8O0b1u115BG9j9iapdCyxeSTuBIR+qy1eSEiYJJ8ScZI4xvocCOveFDYFx4dpW7WWcBt6VU7oFXHS9PTQ==" saltValue="OjFrla8EoQtonuqPpY+px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5" t="s">
        <v>198</v>
      </c>
      <c r="C3" s="85"/>
      <c r="D3" s="85"/>
      <c r="E3" s="1"/>
    </row>
    <row r="4" spans="1:5" ht="15" customHeight="1" x14ac:dyDescent="0.45">
      <c r="A4" s="1"/>
      <c r="B4" s="85"/>
      <c r="C4" s="85"/>
      <c r="D4" s="85"/>
      <c r="E4" s="1"/>
    </row>
    <row r="5" spans="1:5" x14ac:dyDescent="0.45">
      <c r="A5" s="1"/>
      <c r="B5" s="86" t="s">
        <v>23</v>
      </c>
      <c r="C5" s="86"/>
      <c r="D5" s="86"/>
      <c r="E5" s="1"/>
    </row>
    <row r="6" spans="1:5" x14ac:dyDescent="0.45">
      <c r="A6" s="1"/>
      <c r="B6" s="50"/>
      <c r="C6" s="50"/>
      <c r="D6" s="50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63339350.460531622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209019.85651975436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-152056.0353540653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drift'!G59</f>
        <v>-528249.59601191501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-566923.4063601339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62301141.279325262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omk.'!C17*(1+'Fane 14. Nøgletal'!C14)^3+'Fane 6. Ikke-påvirkelige omk.'!C24+'Fane 6. Ikke-påvirkelige omk.'!C32</f>
        <v>2846265.7643958861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8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2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2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8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4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65147407.043721147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OWjVpLLa9jG8ledbVDe1p2mwJNWtPks24yLQANN58GjMt6OKdAEP8q2MQBzRWEzKW4daWstTy6TomalG8uUuZQ==" saltValue="yIg0Ju+5ys/VNgK8mD+i7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1" t="s">
        <v>250</v>
      </c>
      <c r="C3" s="101"/>
      <c r="D3" s="101"/>
      <c r="E3" s="101"/>
      <c r="F3" s="101"/>
      <c r="G3" s="1"/>
    </row>
    <row r="4" spans="1:7" ht="29.25" customHeight="1" x14ac:dyDescent="0.45">
      <c r="A4" s="1"/>
      <c r="B4" s="101"/>
      <c r="C4" s="101"/>
      <c r="D4" s="101"/>
      <c r="E4" s="101"/>
      <c r="F4" s="101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280</v>
      </c>
      <c r="C8" s="32"/>
      <c r="D8" s="32"/>
      <c r="E8" s="32"/>
      <c r="F8" s="20"/>
      <c r="G8" s="1"/>
    </row>
    <row r="9" spans="1:7" ht="15" customHeight="1" x14ac:dyDescent="0.45">
      <c r="A9" s="1"/>
      <c r="B9" s="96" t="s">
        <v>25</v>
      </c>
      <c r="C9" s="97"/>
      <c r="D9" s="98"/>
      <c r="E9" s="7">
        <v>67081918.168176569</v>
      </c>
      <c r="F9" s="8" t="s">
        <v>3</v>
      </c>
      <c r="G9" s="1"/>
    </row>
    <row r="10" spans="1:7" ht="15" customHeight="1" x14ac:dyDescent="0.45">
      <c r="A10" s="1"/>
      <c r="B10" s="87" t="s">
        <v>43</v>
      </c>
      <c r="C10" s="88"/>
      <c r="D10" s="89"/>
      <c r="E10" s="7">
        <v>0</v>
      </c>
      <c r="F10" s="8" t="s">
        <v>3</v>
      </c>
      <c r="G10" s="1"/>
    </row>
    <row r="11" spans="1:7" ht="15" customHeight="1" x14ac:dyDescent="0.45">
      <c r="A11" s="1"/>
      <c r="B11" s="87" t="s">
        <v>44</v>
      </c>
      <c r="C11" s="88"/>
      <c r="D11" s="89"/>
      <c r="E11" s="9">
        <v>10618.9902</v>
      </c>
      <c r="F11" s="8" t="s">
        <v>3</v>
      </c>
      <c r="G11" s="1"/>
    </row>
    <row r="12" spans="1:7" ht="15" customHeight="1" x14ac:dyDescent="0.45">
      <c r="A12" s="1"/>
      <c r="B12" s="87" t="s">
        <v>29</v>
      </c>
      <c r="C12" s="88"/>
      <c r="D12" s="89"/>
      <c r="E12" s="9">
        <v>0</v>
      </c>
      <c r="F12" s="8" t="s">
        <v>3</v>
      </c>
      <c r="G12" s="1"/>
    </row>
    <row r="13" spans="1:7" ht="15" customHeight="1" x14ac:dyDescent="0.45">
      <c r="A13" s="1"/>
      <c r="B13" s="96" t="s">
        <v>28</v>
      </c>
      <c r="C13" s="97"/>
      <c r="D13" s="98"/>
      <c r="E13" s="9">
        <v>0</v>
      </c>
      <c r="F13" s="8" t="s">
        <v>3</v>
      </c>
      <c r="G13" s="1"/>
    </row>
    <row r="14" spans="1:7" ht="15" customHeight="1" x14ac:dyDescent="0.45">
      <c r="A14" s="1"/>
      <c r="B14" s="96" t="s">
        <v>31</v>
      </c>
      <c r="C14" s="97"/>
      <c r="D14" s="98"/>
      <c r="E14" s="9">
        <v>0</v>
      </c>
      <c r="F14" s="8" t="s">
        <v>3</v>
      </c>
      <c r="G14" s="1"/>
    </row>
    <row r="15" spans="1:7" ht="15" customHeight="1" x14ac:dyDescent="0.45">
      <c r="A15" s="1"/>
      <c r="B15" s="96" t="s">
        <v>30</v>
      </c>
      <c r="C15" s="97"/>
      <c r="D15" s="98"/>
      <c r="E15" s="9">
        <v>0</v>
      </c>
      <c r="F15" s="8" t="s">
        <v>3</v>
      </c>
      <c r="G15" s="1"/>
    </row>
    <row r="16" spans="1:7" ht="15" customHeight="1" x14ac:dyDescent="0.45">
      <c r="A16" s="1"/>
      <c r="B16" s="96" t="s">
        <v>20</v>
      </c>
      <c r="C16" s="97"/>
      <c r="D16" s="98"/>
      <c r="E16" s="9">
        <v>1321643.3395935185</v>
      </c>
      <c r="F16" s="8" t="s">
        <v>3</v>
      </c>
      <c r="G16" s="1"/>
    </row>
    <row r="17" spans="1:7" ht="15" customHeight="1" x14ac:dyDescent="0.45">
      <c r="A17" s="1"/>
      <c r="B17" s="96" t="s">
        <v>10</v>
      </c>
      <c r="C17" s="97"/>
      <c r="D17" s="98"/>
      <c r="E17" s="9">
        <v>-234832.28636933176</v>
      </c>
      <c r="F17" s="8" t="s">
        <v>3</v>
      </c>
      <c r="G17" s="1"/>
    </row>
    <row r="18" spans="1:7" ht="15" customHeight="1" x14ac:dyDescent="0.45">
      <c r="A18" s="1"/>
      <c r="B18" s="96" t="s">
        <v>26</v>
      </c>
      <c r="C18" s="97"/>
      <c r="D18" s="98"/>
      <c r="E18" s="9">
        <f>-'Fane 4.1. Gen. krav - drift'!G32</f>
        <v>-565212.32284573512</v>
      </c>
      <c r="F18" s="8" t="s">
        <v>3</v>
      </c>
      <c r="G18" s="1"/>
    </row>
    <row r="19" spans="1:7" ht="15" customHeight="1" x14ac:dyDescent="0.45">
      <c r="A19" s="1"/>
      <c r="B19" s="96" t="s">
        <v>27</v>
      </c>
      <c r="C19" s="97"/>
      <c r="D19" s="98"/>
      <c r="E19" s="9">
        <f>-'Fane 4.2. Gen. krav - anlæg'!G31</f>
        <v>-1153165.6040625507</v>
      </c>
      <c r="F19" s="8" t="s">
        <v>3</v>
      </c>
      <c r="G19" s="1"/>
    </row>
    <row r="20" spans="1:7" ht="15" customHeight="1" x14ac:dyDescent="0.45">
      <c r="A20" s="1"/>
      <c r="B20" s="58" t="s">
        <v>22</v>
      </c>
      <c r="C20" s="59"/>
      <c r="D20" s="65"/>
      <c r="E20" s="10">
        <f>SUM(E9:E19)</f>
        <v>66460970.284692459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0" t="s">
        <v>13</v>
      </c>
      <c r="C22" s="91"/>
      <c r="D22" s="92"/>
      <c r="E22" s="10">
        <v>4183168.8066242798</v>
      </c>
      <c r="F22" s="11" t="s">
        <v>3</v>
      </c>
      <c r="G22" s="1"/>
    </row>
    <row r="23" spans="1:7" ht="15" customHeight="1" x14ac:dyDescent="0.45">
      <c r="A23" s="1"/>
      <c r="B23" s="93" t="s">
        <v>94</v>
      </c>
      <c r="C23" s="94"/>
      <c r="D23" s="95"/>
      <c r="E23" s="32"/>
      <c r="F23" s="32"/>
      <c r="G23" s="1"/>
    </row>
    <row r="24" spans="1:7" ht="15" customHeight="1" x14ac:dyDescent="0.45">
      <c r="A24" s="1"/>
      <c r="B24" s="58" t="s">
        <v>94</v>
      </c>
      <c r="C24" s="42"/>
      <c r="D24" s="43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7" t="s">
        <v>89</v>
      </c>
      <c r="C26" s="88"/>
      <c r="D26" s="89"/>
      <c r="E26" s="9">
        <v>0</v>
      </c>
      <c r="F26" s="8" t="s">
        <v>3</v>
      </c>
      <c r="G26" s="1"/>
    </row>
    <row r="27" spans="1:7" ht="15" customHeight="1" x14ac:dyDescent="0.45">
      <c r="A27" s="1"/>
      <c r="B27" s="87" t="s">
        <v>90</v>
      </c>
      <c r="C27" s="88"/>
      <c r="D27" s="88"/>
      <c r="E27" s="9">
        <v>0</v>
      </c>
      <c r="F27" s="8" t="s">
        <v>3</v>
      </c>
      <c r="G27" s="1"/>
    </row>
    <row r="28" spans="1:7" ht="15" customHeight="1" x14ac:dyDescent="0.45">
      <c r="A28" s="1"/>
      <c r="B28" s="99" t="s">
        <v>95</v>
      </c>
      <c r="C28" s="100"/>
      <c r="D28" s="100"/>
      <c r="E28" s="44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0" t="s">
        <v>185</v>
      </c>
      <c r="C30" s="91"/>
      <c r="D30" s="91"/>
      <c r="E30" s="44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0" t="s">
        <v>148</v>
      </c>
      <c r="C32" s="91"/>
      <c r="D32" s="92"/>
      <c r="E32" s="10">
        <v>-365401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70278738.091316745</v>
      </c>
      <c r="F33" s="13" t="s">
        <v>3</v>
      </c>
      <c r="G33" s="1"/>
    </row>
    <row r="34" spans="1:7" ht="27" customHeight="1" x14ac:dyDescent="0.45">
      <c r="A34" s="1"/>
      <c r="B34" s="96" t="s">
        <v>252</v>
      </c>
      <c r="C34" s="97"/>
      <c r="D34" s="97"/>
      <c r="E34" s="97"/>
      <c r="F34" s="98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589SSJQe33v5OETFu8hUbtENkT4caAAnhSe8vTVD0EX1RlgUXlMtnXyvYKq2Y+wqQMx9KOuPXsqzJTbDMFRZYA==" saltValue="qfdaYDlhu7+HemkC/8I7A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2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101" t="s">
        <v>130</v>
      </c>
      <c r="C1" s="101"/>
      <c r="D1" s="101"/>
      <c r="E1" s="101"/>
      <c r="F1" s="101"/>
      <c r="G1" s="101"/>
      <c r="H1" s="101"/>
      <c r="I1" s="1"/>
    </row>
    <row r="2" spans="1:9" ht="28.5" customHeight="1" x14ac:dyDescent="0.45">
      <c r="A2" s="1"/>
      <c r="B2" s="101"/>
      <c r="C2" s="101"/>
      <c r="D2" s="101"/>
      <c r="E2" s="101"/>
      <c r="F2" s="101"/>
      <c r="G2" s="101"/>
      <c r="H2" s="101"/>
      <c r="I2" s="1"/>
    </row>
    <row r="3" spans="1:9" x14ac:dyDescent="0.45">
      <c r="A3" s="1"/>
      <c r="B3" s="93" t="s">
        <v>56</v>
      </c>
      <c r="C3" s="94"/>
      <c r="D3" s="94"/>
      <c r="E3" s="94"/>
      <c r="F3" s="94"/>
      <c r="G3" s="94"/>
      <c r="H3" s="95"/>
      <c r="I3" s="1"/>
    </row>
    <row r="4" spans="1:9" x14ac:dyDescent="0.45">
      <c r="A4" s="1"/>
      <c r="B4" s="102" t="s">
        <v>45</v>
      </c>
      <c r="C4" s="103"/>
      <c r="D4" s="103"/>
      <c r="E4" s="103"/>
      <c r="F4" s="104"/>
      <c r="G4" s="24">
        <v>28461884</v>
      </c>
      <c r="H4" s="14" t="s">
        <v>3</v>
      </c>
      <c r="I4" s="1"/>
    </row>
    <row r="5" spans="1:9" x14ac:dyDescent="0.45">
      <c r="A5" s="1"/>
      <c r="B5" s="96" t="s">
        <v>145</v>
      </c>
      <c r="C5" s="97"/>
      <c r="D5" s="97"/>
      <c r="E5" s="97"/>
      <c r="F5" s="98"/>
      <c r="G5" s="9">
        <v>0</v>
      </c>
      <c r="H5" s="14" t="s">
        <v>3</v>
      </c>
      <c r="I5" s="1"/>
    </row>
    <row r="6" spans="1:9" x14ac:dyDescent="0.45">
      <c r="A6" s="1"/>
      <c r="B6" s="102" t="s">
        <v>46</v>
      </c>
      <c r="C6" s="103"/>
      <c r="D6" s="103"/>
      <c r="E6" s="103"/>
      <c r="F6" s="104"/>
      <c r="G6" s="24">
        <f>SUM(G4:G5)*'Fane 14. Nøgletal'!C29</f>
        <v>569237.68000000005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3" t="s">
        <v>57</v>
      </c>
      <c r="C9" s="94"/>
      <c r="D9" s="94"/>
      <c r="E9" s="94"/>
      <c r="F9" s="94"/>
      <c r="G9" s="94"/>
      <c r="H9" s="95"/>
      <c r="I9" s="1"/>
    </row>
    <row r="10" spans="1:9" x14ac:dyDescent="0.45">
      <c r="A10" s="1"/>
      <c r="B10" s="102" t="s">
        <v>47</v>
      </c>
      <c r="C10" s="103"/>
      <c r="D10" s="103"/>
      <c r="E10" s="103"/>
      <c r="F10" s="104"/>
      <c r="G10" s="24">
        <f>(G4-G6)*(1+'Fane 14. Nøgletal'!C10)</f>
        <v>28380767.630600002</v>
      </c>
      <c r="H10" s="14" t="s">
        <v>3</v>
      </c>
      <c r="I10" s="1"/>
    </row>
    <row r="11" spans="1:9" ht="15" customHeight="1" x14ac:dyDescent="0.45">
      <c r="A11" s="1"/>
      <c r="B11" s="102" t="s">
        <v>146</v>
      </c>
      <c r="C11" s="103"/>
      <c r="D11" s="103"/>
      <c r="E11" s="103"/>
      <c r="F11" s="104"/>
      <c r="G11" s="24">
        <v>0.30732353514060379</v>
      </c>
      <c r="H11" s="14" t="s">
        <v>3</v>
      </c>
      <c r="I11" s="1"/>
    </row>
    <row r="12" spans="1:9" x14ac:dyDescent="0.45">
      <c r="A12" s="1"/>
      <c r="B12" s="96" t="s">
        <v>143</v>
      </c>
      <c r="C12" s="97"/>
      <c r="D12" s="97"/>
      <c r="E12" s="97"/>
      <c r="F12" s="98"/>
      <c r="G12" s="9">
        <v>0</v>
      </c>
      <c r="H12" s="14" t="s">
        <v>3</v>
      </c>
      <c r="I12" s="1"/>
    </row>
    <row r="13" spans="1:9" x14ac:dyDescent="0.45">
      <c r="A13" s="1"/>
      <c r="B13" s="105" t="s">
        <v>48</v>
      </c>
      <c r="C13" s="106"/>
      <c r="D13" s="106"/>
      <c r="E13" s="106"/>
      <c r="F13" s="107"/>
      <c r="G13" s="9">
        <v>0</v>
      </c>
      <c r="H13" s="14" t="s">
        <v>3</v>
      </c>
      <c r="I13" s="1"/>
    </row>
    <row r="14" spans="1:9" x14ac:dyDescent="0.45">
      <c r="A14" s="1"/>
      <c r="B14" s="102" t="s">
        <v>49</v>
      </c>
      <c r="C14" s="103"/>
      <c r="D14" s="103"/>
      <c r="E14" s="103"/>
      <c r="F14" s="104"/>
      <c r="G14" s="24">
        <f>SUM(G10:G13)*'Fane 14. Nøgletal'!C29</f>
        <v>567615.35875847074</v>
      </c>
      <c r="H14" s="14" t="s">
        <v>3</v>
      </c>
      <c r="I14" s="1"/>
    </row>
    <row r="15" spans="1:9" x14ac:dyDescent="0.45">
      <c r="A15" s="1"/>
      <c r="B15" s="38"/>
      <c r="C15" s="32"/>
      <c r="D15" s="32"/>
      <c r="E15" s="32"/>
      <c r="F15" s="32"/>
      <c r="G15" s="32"/>
      <c r="H15" s="20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93" t="s">
        <v>58</v>
      </c>
      <c r="C17" s="94"/>
      <c r="D17" s="94"/>
      <c r="E17" s="94"/>
      <c r="F17" s="94"/>
      <c r="G17" s="94"/>
      <c r="H17" s="95"/>
      <c r="I17" s="1"/>
    </row>
    <row r="18" spans="1:9" x14ac:dyDescent="0.45">
      <c r="A18" s="1"/>
      <c r="B18" s="102" t="s">
        <v>50</v>
      </c>
      <c r="C18" s="103"/>
      <c r="D18" s="103"/>
      <c r="E18" s="103"/>
      <c r="F18" s="104"/>
      <c r="G18" s="24">
        <f>(SUM(G10:G11,G13)-(G14))*(1+'Fane 14. Nøgletal'!C10)</f>
        <v>28299882.749300454</v>
      </c>
      <c r="H18" s="14" t="s">
        <v>3</v>
      </c>
      <c r="I18" s="1"/>
    </row>
    <row r="19" spans="1:9" x14ac:dyDescent="0.45">
      <c r="A19" s="1"/>
      <c r="B19" s="105" t="s">
        <v>51</v>
      </c>
      <c r="C19" s="106"/>
      <c r="D19" s="106"/>
      <c r="E19" s="106"/>
      <c r="F19" s="107"/>
      <c r="G19" s="9">
        <v>0</v>
      </c>
      <c r="H19" s="14" t="s">
        <v>3</v>
      </c>
      <c r="I19" s="1"/>
    </row>
    <row r="20" spans="1:9" x14ac:dyDescent="0.45">
      <c r="A20" s="1"/>
      <c r="B20" s="102" t="s">
        <v>52</v>
      </c>
      <c r="C20" s="103"/>
      <c r="D20" s="103"/>
      <c r="E20" s="103"/>
      <c r="F20" s="104"/>
      <c r="G20" s="24">
        <f>SUM(G18:G19)*'Fane 14. Nøgletal'!C29</f>
        <v>565997.65498600912</v>
      </c>
      <c r="H20" s="14" t="s">
        <v>3</v>
      </c>
      <c r="I20" s="1"/>
    </row>
    <row r="21" spans="1:9" x14ac:dyDescent="0.45">
      <c r="A21" s="1"/>
      <c r="B21" s="38"/>
      <c r="C21" s="32"/>
      <c r="D21" s="32"/>
      <c r="E21" s="32"/>
      <c r="F21" s="32"/>
      <c r="G21" s="32"/>
      <c r="H21" s="20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3" t="s">
        <v>59</v>
      </c>
      <c r="C23" s="94"/>
      <c r="D23" s="94"/>
      <c r="E23" s="94"/>
      <c r="F23" s="94"/>
      <c r="G23" s="94"/>
      <c r="H23" s="95"/>
      <c r="I23" s="1"/>
    </row>
    <row r="24" spans="1:9" x14ac:dyDescent="0.45">
      <c r="A24" s="1"/>
      <c r="B24" s="102" t="s">
        <v>53</v>
      </c>
      <c r="C24" s="103"/>
      <c r="D24" s="103"/>
      <c r="E24" s="103"/>
      <c r="F24" s="104"/>
      <c r="G24" s="24">
        <f>(G18+G19-G20)*(1+'Fane 14. Nøgletal'!C12)</f>
        <v>28280242.63067244</v>
      </c>
      <c r="H24" s="14" t="s">
        <v>3</v>
      </c>
      <c r="I24" s="1"/>
    </row>
    <row r="25" spans="1:9" x14ac:dyDescent="0.45">
      <c r="A25" s="1"/>
      <c r="B25" s="105" t="s">
        <v>54</v>
      </c>
      <c r="C25" s="106"/>
      <c r="D25" s="106"/>
      <c r="E25" s="106"/>
      <c r="F25" s="107"/>
      <c r="G25" s="9">
        <v>0</v>
      </c>
      <c r="H25" s="14" t="s">
        <v>3</v>
      </c>
      <c r="I25" s="1"/>
    </row>
    <row r="26" spans="1:9" x14ac:dyDescent="0.45">
      <c r="A26" s="1"/>
      <c r="B26" s="102" t="s">
        <v>55</v>
      </c>
      <c r="C26" s="103"/>
      <c r="D26" s="103"/>
      <c r="E26" s="103"/>
      <c r="F26" s="104"/>
      <c r="G26" s="24">
        <f>(G24+G25)*'Fane 14. Nøgletal'!C29</f>
        <v>565604.85261344886</v>
      </c>
      <c r="H26" s="14" t="s">
        <v>3</v>
      </c>
      <c r="I26" s="1"/>
    </row>
    <row r="27" spans="1:9" x14ac:dyDescent="0.45">
      <c r="A27" s="1"/>
      <c r="B27" s="38"/>
      <c r="C27" s="32"/>
      <c r="D27" s="32"/>
      <c r="E27" s="32"/>
      <c r="F27" s="32"/>
      <c r="G27" s="32"/>
      <c r="H27" s="20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45">
      <c r="A30" s="1"/>
      <c r="B30" s="102" t="s">
        <v>63</v>
      </c>
      <c r="C30" s="103"/>
      <c r="D30" s="103"/>
      <c r="E30" s="103"/>
      <c r="F30" s="104"/>
      <c r="G30" s="24">
        <f>(G24+G25-G26)*(1+'Fane 14. Nøgletal'!C12)</f>
        <v>28260616.142286755</v>
      </c>
      <c r="H30" s="14" t="s">
        <v>3</v>
      </c>
      <c r="I30" s="1"/>
    </row>
    <row r="31" spans="1:9" x14ac:dyDescent="0.45">
      <c r="A31" s="1"/>
      <c r="B31" s="102" t="s">
        <v>171</v>
      </c>
      <c r="C31" s="103"/>
      <c r="D31" s="103"/>
      <c r="E31" s="103"/>
      <c r="F31" s="104"/>
      <c r="G31" s="9">
        <v>0</v>
      </c>
      <c r="H31" s="14" t="s">
        <v>3</v>
      </c>
      <c r="I31" s="1"/>
    </row>
    <row r="32" spans="1:9" x14ac:dyDescent="0.45">
      <c r="A32" s="1"/>
      <c r="B32" s="102" t="s">
        <v>64</v>
      </c>
      <c r="C32" s="103"/>
      <c r="D32" s="103"/>
      <c r="E32" s="103"/>
      <c r="F32" s="104"/>
      <c r="G32" s="24">
        <f>(G30+G31)*'Fane 14. Nøgletal'!C29</f>
        <v>565212.32284573512</v>
      </c>
      <c r="H32" s="14" t="s">
        <v>3</v>
      </c>
      <c r="I32" s="1"/>
    </row>
    <row r="33" spans="1:9" x14ac:dyDescent="0.45">
      <c r="A33" s="1"/>
      <c r="B33" s="38"/>
      <c r="C33" s="32"/>
      <c r="D33" s="32"/>
      <c r="E33" s="32"/>
      <c r="F33" s="32"/>
      <c r="G33" s="32"/>
      <c r="H33" s="20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3" t="s">
        <v>232</v>
      </c>
      <c r="C35" s="94"/>
      <c r="D35" s="94"/>
      <c r="E35" s="94"/>
      <c r="F35" s="94"/>
      <c r="G35" s="94"/>
      <c r="H35" s="95"/>
      <c r="I35" s="1"/>
    </row>
    <row r="36" spans="1:9" x14ac:dyDescent="0.45">
      <c r="A36" s="1"/>
      <c r="B36" s="102" t="s">
        <v>84</v>
      </c>
      <c r="C36" s="103"/>
      <c r="D36" s="103"/>
      <c r="E36" s="103"/>
      <c r="F36" s="104"/>
      <c r="G36" s="24">
        <f>(G30+G31-G32)*(1+'Fane 14. Nøgletal'!C14)</f>
        <v>27786798.652045179</v>
      </c>
      <c r="H36" s="14" t="s">
        <v>3</v>
      </c>
      <c r="I36" s="1"/>
    </row>
    <row r="37" spans="1:9" x14ac:dyDescent="0.45">
      <c r="A37" s="1"/>
      <c r="B37" s="102" t="s">
        <v>236</v>
      </c>
      <c r="C37" s="103"/>
      <c r="D37" s="103"/>
      <c r="E37" s="103"/>
      <c r="F37" s="104"/>
      <c r="G37" s="9">
        <f>SUM('Fane 2.1. Økonomisk ramme 2022'!C10,'Fane 2.1. Økonomisk ramme 2022'!C12,'Fane 2.1. Økonomisk ramme 2022'!C14)*(1+'Fane 14. Nøgletal'!C14)</f>
        <v>0</v>
      </c>
      <c r="H37" s="14" t="s">
        <v>3</v>
      </c>
      <c r="I37" s="1"/>
    </row>
    <row r="38" spans="1:9" x14ac:dyDescent="0.45">
      <c r="A38" s="1"/>
      <c r="B38" s="102" t="s">
        <v>234</v>
      </c>
      <c r="C38" s="103"/>
      <c r="D38" s="103"/>
      <c r="E38" s="103"/>
      <c r="F38" s="104"/>
      <c r="G38" s="24">
        <f>(G36+G37)*'Fane 14. Nøgletal'!C29</f>
        <v>555735.97304090357</v>
      </c>
      <c r="H38" s="14" t="s">
        <v>3</v>
      </c>
      <c r="I38" s="1"/>
    </row>
    <row r="39" spans="1:9" x14ac:dyDescent="0.45">
      <c r="A39" s="1"/>
      <c r="B39" s="38"/>
      <c r="C39" s="32"/>
      <c r="D39" s="32"/>
      <c r="E39" s="32"/>
      <c r="F39" s="32"/>
      <c r="G39" s="3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3" t="s">
        <v>233</v>
      </c>
      <c r="C41" s="94"/>
      <c r="D41" s="94"/>
      <c r="E41" s="94"/>
      <c r="F41" s="94"/>
      <c r="G41" s="94"/>
      <c r="H41" s="95"/>
      <c r="I41" s="1"/>
    </row>
    <row r="42" spans="1:9" x14ac:dyDescent="0.45">
      <c r="A42" s="1"/>
      <c r="B42" s="102" t="s">
        <v>83</v>
      </c>
      <c r="C42" s="103"/>
      <c r="D42" s="103"/>
      <c r="E42" s="103"/>
      <c r="F42" s="104"/>
      <c r="G42" s="24">
        <f>(G36+G37-G38)*(1+'Fane 14. Nøgletal'!C14)</f>
        <v>27320925.185844991</v>
      </c>
      <c r="H42" s="14" t="s">
        <v>3</v>
      </c>
      <c r="I42" s="1"/>
    </row>
    <row r="43" spans="1:9" x14ac:dyDescent="0.45">
      <c r="A43" s="1"/>
      <c r="B43" s="108" t="s">
        <v>237</v>
      </c>
      <c r="C43" s="109"/>
      <c r="D43" s="109"/>
      <c r="E43" s="109"/>
      <c r="F43" s="110"/>
      <c r="G43" s="9">
        <f>G37*(1+'Fane 14. Nøgletal'!C14)</f>
        <v>0</v>
      </c>
      <c r="H43" s="14" t="s">
        <v>3</v>
      </c>
      <c r="I43" s="1"/>
    </row>
    <row r="44" spans="1:9" x14ac:dyDescent="0.45">
      <c r="A44" s="1"/>
      <c r="B44" s="102" t="s">
        <v>97</v>
      </c>
      <c r="C44" s="103"/>
      <c r="D44" s="103"/>
      <c r="E44" s="103"/>
      <c r="F44" s="104"/>
      <c r="G44" s="9">
        <f>-'Fane 13. Bortfald'!C18*(1+'Fane 14. Nøgletal'!C14)</f>
        <v>0</v>
      </c>
      <c r="H44" s="14" t="s">
        <v>3</v>
      </c>
      <c r="I44" s="1"/>
    </row>
    <row r="45" spans="1:9" x14ac:dyDescent="0.45">
      <c r="A45" s="1"/>
      <c r="B45" s="102" t="s">
        <v>235</v>
      </c>
      <c r="C45" s="103"/>
      <c r="D45" s="103"/>
      <c r="E45" s="103"/>
      <c r="F45" s="104"/>
      <c r="G45" s="24">
        <f>(G42+G44)*'Fane 14. Nøgletal'!C29</f>
        <v>546418.50371689978</v>
      </c>
      <c r="H45" s="14" t="s">
        <v>3</v>
      </c>
      <c r="I45" s="1"/>
    </row>
    <row r="46" spans="1:9" x14ac:dyDescent="0.45">
      <c r="A46" s="1"/>
      <c r="B46" s="38"/>
      <c r="C46" s="32"/>
      <c r="D46" s="32"/>
      <c r="E46" s="32"/>
      <c r="F46" s="32"/>
      <c r="G46" s="32"/>
      <c r="H46" s="20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93" t="s">
        <v>172</v>
      </c>
      <c r="C50" s="94"/>
      <c r="D50" s="94"/>
      <c r="E50" s="94"/>
      <c r="F50" s="94"/>
      <c r="G50" s="94"/>
      <c r="H50" s="95"/>
      <c r="I50" s="1"/>
    </row>
    <row r="51" spans="1:9" x14ac:dyDescent="0.45">
      <c r="A51" s="1"/>
      <c r="B51" s="102" t="s">
        <v>173</v>
      </c>
      <c r="C51" s="103"/>
      <c r="D51" s="103"/>
      <c r="E51" s="103"/>
      <c r="F51" s="104"/>
      <c r="G51" s="24">
        <f>(G42+G44-G45)*(1+'Fane 14. Nøgletal'!C14)</f>
        <v>26862862.554179117</v>
      </c>
      <c r="H51" s="14" t="s">
        <v>3</v>
      </c>
      <c r="I51" s="1"/>
    </row>
    <row r="52" spans="1:9" x14ac:dyDescent="0.45">
      <c r="A52" s="1"/>
      <c r="B52" s="102" t="s">
        <v>174</v>
      </c>
      <c r="C52" s="103"/>
      <c r="D52" s="103"/>
      <c r="E52" s="103"/>
      <c r="F52" s="104"/>
      <c r="G52" s="9">
        <f>-'Fane 13. Bortfald'!C24*(1+'Fane 14. Nøgletal'!C14)</f>
        <v>0</v>
      </c>
      <c r="H52" s="14" t="s">
        <v>3</v>
      </c>
      <c r="I52" s="1"/>
    </row>
    <row r="53" spans="1:9" x14ac:dyDescent="0.45">
      <c r="A53" s="1"/>
      <c r="B53" s="102" t="s">
        <v>175</v>
      </c>
      <c r="C53" s="103"/>
      <c r="D53" s="103"/>
      <c r="E53" s="103"/>
      <c r="F53" s="104"/>
      <c r="G53" s="24">
        <f>(G51+G52)*'Fane 14. Nøgletal'!C29</f>
        <v>537257.25108358241</v>
      </c>
      <c r="H53" s="14" t="s">
        <v>3</v>
      </c>
      <c r="I53" s="1"/>
    </row>
    <row r="54" spans="1:9" x14ac:dyDescent="0.45">
      <c r="A54" s="1"/>
      <c r="B54" s="38"/>
      <c r="C54" s="32"/>
      <c r="D54" s="32"/>
      <c r="E54" s="32"/>
      <c r="F54" s="32"/>
      <c r="G54" s="32"/>
      <c r="H54" s="20"/>
      <c r="I54" s="1"/>
    </row>
    <row r="55" spans="1:9" x14ac:dyDescent="0.4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5">
      <c r="A56" s="1"/>
      <c r="B56" s="93" t="s">
        <v>201</v>
      </c>
      <c r="C56" s="94"/>
      <c r="D56" s="94"/>
      <c r="E56" s="94"/>
      <c r="F56" s="94"/>
      <c r="G56" s="94"/>
      <c r="H56" s="95"/>
      <c r="I56" s="1"/>
    </row>
    <row r="57" spans="1:9" x14ac:dyDescent="0.45">
      <c r="A57" s="1"/>
      <c r="B57" s="60" t="s">
        <v>202</v>
      </c>
      <c r="C57" s="61"/>
      <c r="D57" s="61"/>
      <c r="E57" s="61"/>
      <c r="F57" s="62"/>
      <c r="G57" s="24">
        <f>(G51+G52-G53)*(1+'Fane 14. Nøgletal'!C14)</f>
        <v>26412479.800595753</v>
      </c>
      <c r="H57" s="14" t="s">
        <v>3</v>
      </c>
      <c r="I57" s="1"/>
    </row>
    <row r="58" spans="1:9" x14ac:dyDescent="0.45">
      <c r="A58" s="1"/>
      <c r="B58" s="60" t="s">
        <v>203</v>
      </c>
      <c r="C58" s="61"/>
      <c r="D58" s="61"/>
      <c r="E58" s="61"/>
      <c r="F58" s="62"/>
      <c r="G58" s="9">
        <f>-'Fane 13. Bortfald'!C30*(1+'Fane 14. Nøgletal'!C14)</f>
        <v>0</v>
      </c>
      <c r="H58" s="14" t="s">
        <v>3</v>
      </c>
      <c r="I58" s="1"/>
    </row>
    <row r="59" spans="1:9" x14ac:dyDescent="0.45">
      <c r="A59" s="1"/>
      <c r="B59" s="60" t="s">
        <v>204</v>
      </c>
      <c r="C59" s="61"/>
      <c r="D59" s="61"/>
      <c r="E59" s="61"/>
      <c r="F59" s="62"/>
      <c r="G59" s="24">
        <f>(G57+G58)*'Fane 14. Nøgletal'!C29</f>
        <v>528249.59601191501</v>
      </c>
      <c r="H59" s="14" t="s">
        <v>3</v>
      </c>
      <c r="I59" s="1"/>
    </row>
    <row r="60" spans="1:9" x14ac:dyDescent="0.45">
      <c r="A60" s="1"/>
      <c r="B60" s="38"/>
      <c r="C60" s="32"/>
      <c r="D60" s="32"/>
      <c r="E60" s="32"/>
      <c r="F60" s="32"/>
      <c r="G60" s="32"/>
      <c r="H60" s="20"/>
      <c r="I60" s="1"/>
    </row>
    <row r="61" spans="1:9" x14ac:dyDescent="0.4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hIwDgu+pGvB3/9wOAPONfC/XUxraAZOBy59e6Ts0eIoXjqKbEKLUzPmnefXvOX8a4YswPPsFG2DcTplfH99+gg==" saltValue="C7uA/jJ6oDFsnF5LNBikBg==" spinCount="100000" sheet="1" objects="1" scenarios="1"/>
  <mergeCells count="37">
    <mergeCell ref="B56:H56"/>
    <mergeCell ref="B50:H50"/>
    <mergeCell ref="B51:F51"/>
    <mergeCell ref="B52:F52"/>
    <mergeCell ref="B31:F31"/>
    <mergeCell ref="B32:F32"/>
    <mergeCell ref="B41:H41"/>
    <mergeCell ref="B42:F42"/>
    <mergeCell ref="B45:F45"/>
    <mergeCell ref="B37:F37"/>
    <mergeCell ref="B44:F44"/>
    <mergeCell ref="B38:F38"/>
    <mergeCell ref="B43:F43"/>
    <mergeCell ref="B53:F53"/>
    <mergeCell ref="B36:F36"/>
    <mergeCell ref="B29:H29"/>
    <mergeCell ref="B30:F30"/>
    <mergeCell ref="B35:H35"/>
    <mergeCell ref="B17:H17"/>
    <mergeCell ref="B13:F13"/>
    <mergeCell ref="B14:F14"/>
    <mergeCell ref="B18:F18"/>
    <mergeCell ref="B19:F19"/>
    <mergeCell ref="B20:F20"/>
    <mergeCell ref="B24:F24"/>
    <mergeCell ref="B25:F25"/>
    <mergeCell ref="B26:F26"/>
    <mergeCell ref="B10:F10"/>
    <mergeCell ref="B9:H9"/>
    <mergeCell ref="B5:F5"/>
    <mergeCell ref="B1:H2"/>
    <mergeCell ref="B23:H23"/>
    <mergeCell ref="B3:H3"/>
    <mergeCell ref="B4:F4"/>
    <mergeCell ref="B6:F6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1" t="s">
        <v>131</v>
      </c>
      <c r="C1" s="111"/>
      <c r="D1" s="111"/>
      <c r="E1" s="111"/>
      <c r="F1" s="111"/>
      <c r="G1" s="111"/>
      <c r="H1" s="111"/>
      <c r="I1" s="1"/>
    </row>
    <row r="2" spans="1:9" ht="15" customHeight="1" x14ac:dyDescent="0.45">
      <c r="A2" s="1"/>
      <c r="B2" s="111"/>
      <c r="C2" s="111"/>
      <c r="D2" s="111"/>
      <c r="E2" s="111"/>
      <c r="F2" s="111"/>
      <c r="G2" s="111"/>
      <c r="H2" s="111"/>
      <c r="I2" s="1"/>
    </row>
    <row r="3" spans="1:9" ht="15" customHeight="1" x14ac:dyDescent="0.45">
      <c r="A3" s="1"/>
      <c r="B3" s="112"/>
      <c r="C3" s="112"/>
      <c r="D3" s="112"/>
      <c r="E3" s="112"/>
      <c r="F3" s="112"/>
      <c r="G3" s="112"/>
      <c r="H3" s="112"/>
      <c r="I3" s="1"/>
    </row>
    <row r="4" spans="1:9" x14ac:dyDescent="0.45">
      <c r="A4" s="1"/>
      <c r="B4" s="93" t="s">
        <v>60</v>
      </c>
      <c r="C4" s="94"/>
      <c r="D4" s="94"/>
      <c r="E4" s="94"/>
      <c r="F4" s="94"/>
      <c r="G4" s="94"/>
      <c r="H4" s="95"/>
      <c r="I4" s="1"/>
    </row>
    <row r="5" spans="1:9" x14ac:dyDescent="0.45">
      <c r="A5" s="1"/>
      <c r="B5" s="102" t="s">
        <v>65</v>
      </c>
      <c r="C5" s="103"/>
      <c r="D5" s="103"/>
      <c r="E5" s="103"/>
      <c r="F5" s="104"/>
      <c r="G5" s="24">
        <v>40320566</v>
      </c>
      <c r="H5" s="14" t="s">
        <v>3</v>
      </c>
      <c r="I5" s="1"/>
    </row>
    <row r="6" spans="1:9" x14ac:dyDescent="0.45">
      <c r="A6" s="1"/>
      <c r="B6" s="102" t="s">
        <v>61</v>
      </c>
      <c r="C6" s="103"/>
      <c r="D6" s="103"/>
      <c r="E6" s="103"/>
      <c r="F6" s="104"/>
      <c r="G6" s="24">
        <f>G5*'Fane 14. Nøgletal'!C19</f>
        <v>366917.15059999999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3" t="s">
        <v>66</v>
      </c>
      <c r="C9" s="94"/>
      <c r="D9" s="94"/>
      <c r="E9" s="94"/>
      <c r="F9" s="94"/>
      <c r="G9" s="94"/>
      <c r="H9" s="95"/>
      <c r="I9" s="1"/>
    </row>
    <row r="10" spans="1:9" x14ac:dyDescent="0.45">
      <c r="A10" s="1"/>
      <c r="B10" s="102" t="s">
        <v>67</v>
      </c>
      <c r="C10" s="103"/>
      <c r="D10" s="103"/>
      <c r="E10" s="103"/>
      <c r="F10" s="104"/>
      <c r="G10" s="24">
        <f>(G5-G6)*(1+'Fane 14. Nøgletal'!C10)</f>
        <v>40652837.704264499</v>
      </c>
      <c r="H10" s="14" t="s">
        <v>3</v>
      </c>
      <c r="I10" s="1"/>
    </row>
    <row r="11" spans="1:9" x14ac:dyDescent="0.45">
      <c r="A11" s="1"/>
      <c r="B11" s="102" t="s">
        <v>147</v>
      </c>
      <c r="C11" s="103"/>
      <c r="D11" s="103"/>
      <c r="E11" s="103"/>
      <c r="F11" s="104"/>
      <c r="G11" s="24">
        <v>182483.87760194053</v>
      </c>
      <c r="H11" s="14" t="s">
        <v>3</v>
      </c>
      <c r="I11" s="1"/>
    </row>
    <row r="12" spans="1:9" x14ac:dyDescent="0.45">
      <c r="A12" s="1"/>
      <c r="B12" s="105" t="s">
        <v>68</v>
      </c>
      <c r="C12" s="106"/>
      <c r="D12" s="106"/>
      <c r="E12" s="106"/>
      <c r="F12" s="107"/>
      <c r="G12" s="9">
        <v>0</v>
      </c>
      <c r="H12" s="14" t="s">
        <v>3</v>
      </c>
      <c r="I12" s="1"/>
    </row>
    <row r="13" spans="1:9" x14ac:dyDescent="0.45">
      <c r="A13" s="1"/>
      <c r="B13" s="102" t="s">
        <v>69</v>
      </c>
      <c r="C13" s="103"/>
      <c r="D13" s="103"/>
      <c r="E13" s="103"/>
      <c r="F13" s="104"/>
      <c r="G13" s="24">
        <f>SUM(G10:G12)*'Fane 14. Nøgletal'!C20</f>
        <v>722785.19199903612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3" t="s">
        <v>70</v>
      </c>
      <c r="C16" s="94"/>
      <c r="D16" s="94"/>
      <c r="E16" s="94"/>
      <c r="F16" s="94"/>
      <c r="G16" s="94"/>
      <c r="H16" s="95"/>
      <c r="I16" s="1"/>
    </row>
    <row r="17" spans="1:9" x14ac:dyDescent="0.45">
      <c r="A17" s="1"/>
      <c r="B17" s="102" t="s">
        <v>71</v>
      </c>
      <c r="C17" s="103"/>
      <c r="D17" s="103"/>
      <c r="E17" s="103"/>
      <c r="F17" s="104"/>
      <c r="G17" s="24">
        <f>(SUM(G10:G12)-G13)*(1+'Fane 14. Nøgletal'!C10)</f>
        <v>40814505.776690096</v>
      </c>
      <c r="H17" s="14" t="s">
        <v>3</v>
      </c>
      <c r="I17" s="1"/>
    </row>
    <row r="18" spans="1:9" x14ac:dyDescent="0.45">
      <c r="A18" s="1"/>
      <c r="B18" s="105" t="s">
        <v>72</v>
      </c>
      <c r="C18" s="106"/>
      <c r="D18" s="106"/>
      <c r="E18" s="106"/>
      <c r="F18" s="107"/>
      <c r="G18" s="24">
        <v>29853.017475089993</v>
      </c>
      <c r="H18" s="14" t="s">
        <v>3</v>
      </c>
      <c r="I18" s="1"/>
    </row>
    <row r="19" spans="1:9" x14ac:dyDescent="0.45">
      <c r="A19" s="1"/>
      <c r="B19" s="102" t="s">
        <v>73</v>
      </c>
      <c r="C19" s="103"/>
      <c r="D19" s="103"/>
      <c r="E19" s="103"/>
      <c r="F19" s="104"/>
      <c r="G19" s="24">
        <f>G17*'Fane 14. Nøgletal'!C20+G18*'Fane 14. Nøgletal'!C21</f>
        <v>722676.47349944792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3" t="s">
        <v>74</v>
      </c>
      <c r="C22" s="94"/>
      <c r="D22" s="94"/>
      <c r="E22" s="94"/>
      <c r="F22" s="94"/>
      <c r="G22" s="94"/>
      <c r="H22" s="95"/>
      <c r="I22" s="1"/>
    </row>
    <row r="23" spans="1:9" x14ac:dyDescent="0.45">
      <c r="A23" s="1"/>
      <c r="B23" s="102" t="s">
        <v>75</v>
      </c>
      <c r="C23" s="103"/>
      <c r="D23" s="103"/>
      <c r="E23" s="103"/>
      <c r="F23" s="104"/>
      <c r="G23" s="24">
        <f>(G17+G18-G19)*(1+'Fane 14. Nøgletal'!C12)</f>
        <v>40912079.462382853</v>
      </c>
      <c r="H23" s="14" t="s">
        <v>3</v>
      </c>
      <c r="I23" s="1"/>
    </row>
    <row r="24" spans="1:9" x14ac:dyDescent="0.45">
      <c r="A24" s="1"/>
      <c r="B24" s="105" t="s">
        <v>76</v>
      </c>
      <c r="C24" s="106"/>
      <c r="D24" s="106"/>
      <c r="E24" s="106"/>
      <c r="F24" s="107"/>
      <c r="G24" s="24">
        <v>61327.741336290004</v>
      </c>
      <c r="H24" s="14" t="s">
        <v>3</v>
      </c>
      <c r="I24" s="1"/>
    </row>
    <row r="25" spans="1:9" x14ac:dyDescent="0.45">
      <c r="A25" s="1"/>
      <c r="B25" s="102" t="s">
        <v>77</v>
      </c>
      <c r="C25" s="103"/>
      <c r="D25" s="103"/>
      <c r="E25" s="103"/>
      <c r="F25" s="104"/>
      <c r="G25" s="24">
        <f>(G23+G24)*'Fane 14. Nøgletal'!C22</f>
        <v>1163644.7645856238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3" t="s">
        <v>78</v>
      </c>
      <c r="C28" s="94"/>
      <c r="D28" s="94"/>
      <c r="E28" s="94"/>
      <c r="F28" s="94"/>
      <c r="G28" s="94"/>
      <c r="H28" s="95"/>
      <c r="I28" s="1"/>
    </row>
    <row r="29" spans="1:9" x14ac:dyDescent="0.45">
      <c r="A29" s="1"/>
      <c r="B29" s="102" t="s">
        <v>79</v>
      </c>
      <c r="C29" s="103"/>
      <c r="D29" s="103"/>
      <c r="E29" s="103"/>
      <c r="F29" s="104"/>
      <c r="G29" s="24">
        <f>(G23+G24-G25)*(1+'Fane 14. Nøgletal'!C12)</f>
        <v>40594014.759184457</v>
      </c>
      <c r="H29" s="14" t="s">
        <v>3</v>
      </c>
      <c r="I29" s="1"/>
    </row>
    <row r="30" spans="1:9" x14ac:dyDescent="0.45">
      <c r="A30" s="1"/>
      <c r="B30" s="102" t="s">
        <v>176</v>
      </c>
      <c r="C30" s="103"/>
      <c r="D30" s="103"/>
      <c r="E30" s="103"/>
      <c r="F30" s="104"/>
      <c r="G30" s="24">
        <v>10748.54188044</v>
      </c>
      <c r="H30" s="14" t="s">
        <v>3</v>
      </c>
      <c r="I30" s="1"/>
    </row>
    <row r="31" spans="1:9" x14ac:dyDescent="0.45">
      <c r="A31" s="1"/>
      <c r="B31" s="102" t="s">
        <v>80</v>
      </c>
      <c r="C31" s="103"/>
      <c r="D31" s="103"/>
      <c r="E31" s="103"/>
      <c r="F31" s="104"/>
      <c r="G31" s="24">
        <f>G29*'Fane 14. Nøgletal'!C22+G30*'Fane 14. Nøgletal'!C23</f>
        <v>1153165.6040625507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3" t="s">
        <v>238</v>
      </c>
      <c r="C34" s="94"/>
      <c r="D34" s="94"/>
      <c r="E34" s="94"/>
      <c r="F34" s="94"/>
      <c r="G34" s="94"/>
      <c r="H34" s="95"/>
      <c r="I34" s="1"/>
    </row>
    <row r="35" spans="1:9" x14ac:dyDescent="0.45">
      <c r="A35" s="1"/>
      <c r="B35" s="102" t="s">
        <v>82</v>
      </c>
      <c r="C35" s="103"/>
      <c r="D35" s="103"/>
      <c r="E35" s="103"/>
      <c r="F35" s="104"/>
      <c r="G35" s="24">
        <f>(G29+G30-G31)*(1+'Fane 14. Nøgletal'!C14)</f>
        <v>39581787.969402462</v>
      </c>
      <c r="H35" s="14" t="s">
        <v>3</v>
      </c>
      <c r="I35" s="1"/>
    </row>
    <row r="36" spans="1:9" x14ac:dyDescent="0.45">
      <c r="A36" s="1"/>
      <c r="B36" s="102" t="s">
        <v>240</v>
      </c>
      <c r="C36" s="103"/>
      <c r="D36" s="103"/>
      <c r="E36" s="103"/>
      <c r="F36" s="104"/>
      <c r="G36" s="24">
        <f>SUM('Fane 2.1. Økonomisk ramme 2022'!C11,'Fane 2.1. Økonomisk ramme 2022'!C13,'Fane 2.1. Økonomisk ramme 2022'!C15)*(1+'Fane 14. Nøgletal'!C14)</f>
        <v>82259.235319910018</v>
      </c>
      <c r="H36" s="14" t="s">
        <v>3</v>
      </c>
      <c r="I36" s="1"/>
    </row>
    <row r="37" spans="1:9" x14ac:dyDescent="0.45">
      <c r="A37" s="1"/>
      <c r="B37" s="102" t="s">
        <v>239</v>
      </c>
      <c r="C37" s="103"/>
      <c r="D37" s="103"/>
      <c r="E37" s="103"/>
      <c r="F37" s="104"/>
      <c r="G37" s="24">
        <f>(G35+G36)*'Fane 14. Nøgletal'!C24</f>
        <v>587027.89862989122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3" t="s">
        <v>85</v>
      </c>
      <c r="C40" s="94"/>
      <c r="D40" s="94"/>
      <c r="E40" s="94"/>
      <c r="F40" s="94"/>
      <c r="G40" s="94"/>
      <c r="H40" s="95"/>
      <c r="I40" s="1"/>
    </row>
    <row r="41" spans="1:9" x14ac:dyDescent="0.45">
      <c r="A41" s="1"/>
      <c r="B41" s="102" t="s">
        <v>81</v>
      </c>
      <c r="C41" s="103"/>
      <c r="D41" s="103"/>
      <c r="E41" s="103"/>
      <c r="F41" s="104"/>
      <c r="G41" s="24">
        <f>(G35+G36-G37)*(1+'Fane 14. Nøgletal'!C14)</f>
        <v>39205973.469802596</v>
      </c>
      <c r="H41" s="14" t="s">
        <v>3</v>
      </c>
      <c r="I41" s="1"/>
    </row>
    <row r="42" spans="1:9" x14ac:dyDescent="0.45">
      <c r="A42" s="1"/>
      <c r="B42" s="46" t="s">
        <v>242</v>
      </c>
      <c r="C42" s="61"/>
      <c r="D42" s="61"/>
      <c r="E42" s="61"/>
      <c r="F42" s="62"/>
      <c r="G42" s="24">
        <f>G36*(1+'Fane 14. Nøgletal'!C14)</f>
        <v>82530.690796465729</v>
      </c>
      <c r="H42" s="14" t="s">
        <v>3</v>
      </c>
      <c r="I42" s="1"/>
    </row>
    <row r="43" spans="1:9" x14ac:dyDescent="0.45">
      <c r="A43" s="1"/>
      <c r="B43" s="102" t="s">
        <v>101</v>
      </c>
      <c r="C43" s="103"/>
      <c r="D43" s="103"/>
      <c r="E43" s="103"/>
      <c r="F43" s="104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2" t="s">
        <v>241</v>
      </c>
      <c r="C44" s="103"/>
      <c r="D44" s="103"/>
      <c r="E44" s="103"/>
      <c r="F44" s="104"/>
      <c r="G44" s="24">
        <f>(G41+G43)*'Fane 14. Nøgletal'!C24</f>
        <v>580248.40735307848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3" t="s">
        <v>181</v>
      </c>
      <c r="C52" s="94"/>
      <c r="D52" s="94"/>
      <c r="E52" s="94"/>
      <c r="F52" s="94"/>
      <c r="G52" s="94"/>
      <c r="H52" s="95"/>
      <c r="I52" s="1"/>
    </row>
    <row r="53" spans="1:9" x14ac:dyDescent="0.45">
      <c r="A53" s="1"/>
      <c r="B53" s="102" t="s">
        <v>182</v>
      </c>
      <c r="C53" s="103"/>
      <c r="D53" s="103"/>
      <c r="E53" s="103"/>
      <c r="F53" s="104"/>
      <c r="G53" s="24">
        <f>(G41+G43-G44)*(1+'Fane 14. Nøgletal'!C14)</f>
        <v>38753189.955155604</v>
      </c>
      <c r="H53" s="14" t="s">
        <v>3</v>
      </c>
      <c r="I53" s="1"/>
    </row>
    <row r="54" spans="1:9" x14ac:dyDescent="0.45">
      <c r="A54" s="1"/>
      <c r="B54" s="102" t="s">
        <v>183</v>
      </c>
      <c r="C54" s="103"/>
      <c r="D54" s="103"/>
      <c r="E54" s="103"/>
      <c r="F54" s="104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2" t="s">
        <v>184</v>
      </c>
      <c r="C55" s="103"/>
      <c r="D55" s="103"/>
      <c r="E55" s="103"/>
      <c r="F55" s="104"/>
      <c r="G55" s="24">
        <f>(G53+G54)*'Fane 14. Nøgletal'!C24</f>
        <v>573547.21133630292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3" t="s">
        <v>205</v>
      </c>
      <c r="C58" s="94"/>
      <c r="D58" s="94"/>
      <c r="E58" s="94"/>
      <c r="F58" s="94"/>
      <c r="G58" s="94"/>
      <c r="H58" s="95"/>
      <c r="I58" s="1"/>
    </row>
    <row r="59" spans="1:9" x14ac:dyDescent="0.45">
      <c r="A59" s="1"/>
      <c r="B59" s="102" t="s">
        <v>255</v>
      </c>
      <c r="C59" s="103"/>
      <c r="D59" s="103"/>
      <c r="E59" s="103"/>
      <c r="F59" s="104"/>
      <c r="G59" s="24">
        <f>(G53+G54-G55)*(1+'Fane 14. Nøgletal'!C14)</f>
        <v>38305635.564873911</v>
      </c>
      <c r="H59" s="14" t="s">
        <v>3</v>
      </c>
      <c r="I59" s="1"/>
    </row>
    <row r="60" spans="1:9" x14ac:dyDescent="0.45">
      <c r="A60" s="1"/>
      <c r="B60" s="102" t="s">
        <v>256</v>
      </c>
      <c r="C60" s="103"/>
      <c r="D60" s="103"/>
      <c r="E60" s="103"/>
      <c r="F60" s="104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2" t="s">
        <v>257</v>
      </c>
      <c r="C61" s="103"/>
      <c r="D61" s="103"/>
      <c r="E61" s="103"/>
      <c r="F61" s="104"/>
      <c r="G61" s="24">
        <f>(G59+G60)*'Fane 14. Nøgletal'!C24</f>
        <v>566923.4063601339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n5l+5CQNUtIguQyrPN/0jq9q4DviuBxBNRWCWUL/jR1DP5o9sb4DxHf3fg+vFl316N19CppUQF/l9YoHi8H2eA==" saltValue="yBEVrxZvgMxg5Qm2fGfsg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5" t="s">
        <v>96</v>
      </c>
      <c r="C3" s="85"/>
      <c r="D3" s="85"/>
      <c r="E3" s="85"/>
      <c r="F3" s="85"/>
      <c r="G3" s="85"/>
      <c r="H3" s="85"/>
      <c r="I3" s="1"/>
    </row>
    <row r="4" spans="1:9" ht="15" customHeight="1" x14ac:dyDescent="0.45">
      <c r="A4" s="1"/>
      <c r="B4" s="85"/>
      <c r="C4" s="85"/>
      <c r="D4" s="85"/>
      <c r="E4" s="85"/>
      <c r="F4" s="85"/>
      <c r="G4" s="85"/>
      <c r="H4" s="85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45">
      <c r="A9" s="1"/>
      <c r="B9" s="102" t="s">
        <v>243</v>
      </c>
      <c r="C9" s="103"/>
      <c r="D9" s="103"/>
      <c r="E9" s="103"/>
      <c r="F9" s="104"/>
      <c r="G9" s="23">
        <v>2.8296782502218103E-3</v>
      </c>
      <c r="H9" s="14"/>
      <c r="I9" s="1"/>
    </row>
    <row r="10" spans="1:9" x14ac:dyDescent="0.45">
      <c r="A10" s="1"/>
      <c r="B10" s="102" t="s">
        <v>86</v>
      </c>
      <c r="C10" s="103"/>
      <c r="D10" s="103"/>
      <c r="E10" s="103"/>
      <c r="F10" s="104"/>
      <c r="G10" s="23">
        <v>0</v>
      </c>
      <c r="H10" s="14"/>
      <c r="I10" s="1"/>
    </row>
    <row r="11" spans="1:9" x14ac:dyDescent="0.45">
      <c r="A11" s="1"/>
      <c r="B11" s="102" t="s">
        <v>87</v>
      </c>
      <c r="C11" s="103"/>
      <c r="D11" s="103"/>
      <c r="E11" s="103"/>
      <c r="F11" s="104"/>
      <c r="G11" s="41">
        <v>3.4325089427373824E-3</v>
      </c>
      <c r="H11" s="14"/>
      <c r="I11" s="1"/>
    </row>
    <row r="12" spans="1:9" x14ac:dyDescent="0.45">
      <c r="A12" s="1"/>
      <c r="B12" s="102" t="s">
        <v>206</v>
      </c>
      <c r="C12" s="103"/>
      <c r="D12" s="103"/>
      <c r="E12" s="103"/>
      <c r="F12" s="104"/>
      <c r="G12" s="41">
        <v>2.3927605789957678E-3</v>
      </c>
      <c r="H12" s="45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3" t="s">
        <v>207</v>
      </c>
      <c r="C14" s="113"/>
      <c r="D14" s="113"/>
      <c r="E14" s="113"/>
      <c r="F14" s="113"/>
      <c r="G14" s="113"/>
      <c r="H14" s="113"/>
      <c r="I14" s="1"/>
    </row>
    <row r="15" spans="1:9" ht="14.25" customHeight="1" x14ac:dyDescent="0.45">
      <c r="A15" s="18"/>
      <c r="B15" s="113"/>
      <c r="C15" s="113"/>
      <c r="D15" s="113"/>
      <c r="E15" s="113"/>
      <c r="F15" s="113"/>
      <c r="G15" s="113"/>
      <c r="H15" s="113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pRk3gTx6LIGOFSepOwD0gMIdFO1P4IUQHuzdAC4FRPzTo49YL8DHzkIL7Pz5P4BvLqvaLeUiJjIZpVUeTDu66w==" saltValue="iYl2jU8QklED9nGk97X9MA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2021-09-09T22:24:41Z</dcterms:modified>
</cp:coreProperties>
</file>