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kanderborg Spildevand AS (S08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36" i="2" l="1"/>
  <c r="C31" i="2" l="1"/>
  <c r="C15" i="19" l="1"/>
  <c r="E28" i="27" l="1"/>
  <c r="E34" i="27" l="1"/>
  <c r="C21" i="23"/>
  <c r="C21" i="22"/>
  <c r="C22" i="15"/>
  <c r="C38" i="2"/>
  <c r="G18" i="41" l="1"/>
  <c r="E26" i="32" l="1"/>
  <c r="E34" i="32" l="1"/>
  <c r="E36" i="32" s="1"/>
  <c r="C19" i="23" s="1"/>
  <c r="E30" i="32"/>
  <c r="F10" i="11"/>
  <c r="C19" i="22" l="1"/>
  <c r="C20" i="15"/>
  <c r="J11" i="11" l="1"/>
  <c r="H11" i="11"/>
  <c r="C16" i="19" l="1"/>
  <c r="C15" i="23" l="1"/>
  <c r="C15" i="22"/>
  <c r="C16" i="15"/>
  <c r="C24" i="2"/>
  <c r="G34" i="30"/>
  <c r="C11" i="2"/>
  <c r="C10" i="2"/>
  <c r="C10" i="37" l="1"/>
  <c r="C14" i="37" s="1"/>
  <c r="G7" i="30" l="1"/>
  <c r="G11" i="30" s="1"/>
  <c r="E11" i="39" l="1"/>
  <c r="E12" i="39" s="1"/>
  <c r="C11" i="39"/>
  <c r="C12" i="39" s="1"/>
  <c r="E16" i="27" l="1"/>
  <c r="E30" i="20" l="1"/>
  <c r="E29" i="20"/>
  <c r="E17" i="20"/>
  <c r="E11" i="20"/>
  <c r="E31" i="20" l="1"/>
  <c r="C17" i="23" s="1"/>
  <c r="C29" i="2"/>
  <c r="C28" i="2"/>
  <c r="C30" i="2" l="1"/>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4"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5" i="37" l="1"/>
  <c r="C12" i="2" s="1"/>
  <c r="E11" i="29"/>
  <c r="E12" i="29" s="1"/>
  <c r="C11" i="29"/>
  <c r="C12" i="29" s="1"/>
  <c r="C17" i="2" l="1"/>
  <c r="C16" i="2"/>
  <c r="G47" i="30" s="1"/>
  <c r="G42" i="30" l="1"/>
  <c r="E15"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<sst xmlns="http://schemas.openxmlformats.org/spreadsheetml/2006/main" count="638" uniqueCount="297">
  <si>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</si>
  <si>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</si>
  <si>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</si>
  <si>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</si>
  <si>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</si>
  <si>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</si>
  <si>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</si>
  <si>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</si>
  <si>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</si>
  <si>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</si>
  <si>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</si>
  <si>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</si>
  <si>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</si>
  <si>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</si>
  <si>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</si>
  <si>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</si>
  <si>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</si>
  <si>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</si>
  <si>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</si>
  <si>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</si>
  <si>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</si>
  <si>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</si>
  <si>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</si>
  <si>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</si>
  <si>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</si>
  <si>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</si>
  <si>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</si>
  <si>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</si>
  <si>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</si>
  <si>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</si>
  <si>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</si>
  <si>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</si>
  <si>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</si>
  <si>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</si>
  <si>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</si>
  <si>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</si>
  <si>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</si>
  <si>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</si>
  <si>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</si>
  <si>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</si>
  <si>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</si>
  <si>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</si>
  <si>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</si>
  <si>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</si>
  <si>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</si>
  <si>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</si>
  <si>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</si>
  <si>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</si>
  <si>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</si>
  <si>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</si>
  <si>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</si>
  <si>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</si>
  <si>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</si>
  <si>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</si>
  <si>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</si>
  <si>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</si>
  <si>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</si>
  <si>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</si>
  <si>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</si>
  <si>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</si>
  <si>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</si>
  <si>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</si>
  <si>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</si>
  <si>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</si>
  <si>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</si>
  <si>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</si>
  <si>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</si>
  <si>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</si>
  <si>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</si>
  <si>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</si>
  <si>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</si>
  <si>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</si>
  <si>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</si>
  <si>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</si>
  <si>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</si>
  <si>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</si>
  <si>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</si>
  <si>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</si>
  <si>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</si>
  <si>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</si>
  <si>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</si>
  <si>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</si>
  <si>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</si>
  <si>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</si>
  <si>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</si>
  <si>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</si>
  <si>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</si>
  <si>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</si>
  <si>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</si>
  <si>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</si>
  <si>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</si>
  <si>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</si>
  <si>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</si>
  <si>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</si>
  <si>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</si>
  <si>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</si>
  <si>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</si>
  <si>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</si>
  <si>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</si>
  <si>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</si>
  <si>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</si>
  <si>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</si>
  <si>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</si>
  <si>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</si>
  <si>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</si>
  <si>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</si>
  <si>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</si>
  <si>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</si>
  <si>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</si>
  <si>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</si>
  <si>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</si>
  <si>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</si>
  <si>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</si>
  <si>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</si>
  <si>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</si>
  <si>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</si>
  <si>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</si>
  <si>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</si>
  <si>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</si>
  <si>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</si>
  <si>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</si>
  <si>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</si>
  <si>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</si>
  <si>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</si>
  <si>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</si>
  <si>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</si>
  <si>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</si>
  <si>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</si>
  <si>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</si>
  <si>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</si>
  <si>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</si>
  <si>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</si>
  <si>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</si>
  <si>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</si>
  <si>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</si>
  <si>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</si>
  <si>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</si>
  <si>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</si>
  <si>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</si>
  <si>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</si>
  <si>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</si>
  <si>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</si>
  <si>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</si>
  <si>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</si>
  <si>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</si>
  <si>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</si>
  <si>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</si>
  <si>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</si>
  <si>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</si>
  <si>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</si>
  <si>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</si>
  <si>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</si>
  <si>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</si>
  <si>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</si>
  <si>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</si>
  <si>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</si>
  <si>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</si>
  <si>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</si>
  <si>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</si>
  <si>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</si>
  <si>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</si>
  <si>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</si>
  <si>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</si>
  <si>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</si>
  <si>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</si>
  <si>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</si>
  <si>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</si>
  <si>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</si>
  <si>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</si>
  <si>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</si>
  <si>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</si>
  <si>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</si>
  <si>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</si>
  <si>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</si>
  <si>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</si>
  <si>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</si>
  <si>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</si>
  <si>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</si>
  <si>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</si>
  <si>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</si>
  <si>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</si>
  <si>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</si>
  <si>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</si>
  <si>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</si>
  <si>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</si>
  <si>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</si>
  <si>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</si>
  <si>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</si>
  <si>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</si>
  <si>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</si>
  <si>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</si>
  <si>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</si>
  <si>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</si>
  <si>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</si>
  <si>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</si>
  <si>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</si>
  <si>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</si>
  <si>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</si>
  <si>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</si>
  <si>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</si>
  <si>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</si>
  <si>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</si>
  <si>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</si>
  <si>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</si>
  <si>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</si>
  <si>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</si>
  <si>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</si>
  <si>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</si>
  <si>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</si>
  <si>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</si>
  <si>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</si>
  <si>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</si>
  <si>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</si>
  <si>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</si>
  <si>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</si>
  <si>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</si>
  <si>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</si>
  <si>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</si>
  <si>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</si>
  <si>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</si>
  <si>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</si>
  <si>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</si>
  <si>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</si>
  <si>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</si>
  <si>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</si>
  <si>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</si>
  <si>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</si>
  <si>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</si>
  <si>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</si>
  <si>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</si>
  <si>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</si>
  <si>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</si>
  <si>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</si>
  <si>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</si>
  <si>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</si>
  <si>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</si>
  <si>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</si>
  <si>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</si>
  <si>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</si>
  <si>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</si>
  <si>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</si>
  <si>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</si>
  <si>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</si>
  <si>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</si>
  <si>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</si>
  <si>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</si>
  <si>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</si>
  <si>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</si>
  <si>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</si>
  <si>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</si>
  <si>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</si>
  <si>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</si>
  <si>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</si>
  <si>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</si>
  <si>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</si>
  <si>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</si>
  <si>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</si>
  <si>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</si>
  <si>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</si>
  <si>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</si>
  <si>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</si>
  <si>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</si>
  <si>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</si>
  <si>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</si>
  <si>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</si>
  <si>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</si>
  <si>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</si>
  <si>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</si>
  <si>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</si>
  <si>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</si>
  <si>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</si>
  <si>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</si>
  <si>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</si>
  <si>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</si>
  <si>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</si>
  <si>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</si>
  <si>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</si>
  <si>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</si>
  <si>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</si>
  <si>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</si>
  <si>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Tjenestemandspensioner</t>
  </si>
  <si>
    <t>Ingen tilknyttet virksomhed under hovedvirksomheden</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</si>
  <si>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</si>
  <si>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</si>
  <si>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</si>
  <si>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</si>
  <si>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</si>
  <si>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</si>
  <si>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</si>
  <si>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</si>
  <si>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</si>
  <si>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</si>
  <si>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Separatkloakeringer, overløb mm.</t>
  </si>
  <si>
    <t>Separatkloakering, overløb mm.</t>
  </si>
  <si>
    <t>Bassinoprensning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</si>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</sst>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9"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8"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231</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234</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190</v>
      </c>
      <c r="E16" s="106"/>
      <c r="F16" s="106"/>
      <c r="G16" s="107"/>
      <c r="H16" s="1"/>
      <c r="I16" s="1"/>
    </row>
    <row r="17" spans="1:9" x14ac:dyDescent="0.25">
      <c r="A17" s="1"/>
      <c r="B17" s="1"/>
      <c r="C17" s="6" t="s">
        <v>109</v>
      </c>
      <c r="D17" s="105" t="s">
        <v>191</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192</v>
      </c>
      <c r="E22" s="101"/>
      <c r="F22" s="101"/>
      <c r="G22" s="102"/>
      <c r="H22" s="1"/>
      <c r="I22" s="1"/>
    </row>
    <row r="23" spans="1:9" x14ac:dyDescent="0.25">
      <c r="A23" s="1"/>
      <c r="B23" s="1"/>
      <c r="C23" s="6" t="s">
        <v>8</v>
      </c>
      <c r="D23" s="100" t="s">
        <v>250</v>
      </c>
      <c r="E23" s="101"/>
      <c r="F23" s="101"/>
      <c r="G23" s="102"/>
      <c r="H23" s="1"/>
      <c r="I23" s="1"/>
    </row>
    <row r="24" spans="1:9" x14ac:dyDescent="0.25">
      <c r="A24" s="1"/>
      <c r="B24" s="1"/>
      <c r="C24" s="6" t="s">
        <v>9</v>
      </c>
      <c r="D24" s="100" t="s">
        <v>193</v>
      </c>
      <c r="E24" s="101"/>
      <c r="F24" s="101"/>
      <c r="G24" s="102"/>
      <c r="H24" s="1"/>
      <c r="I24" s="1"/>
    </row>
    <row r="25" spans="1:9" x14ac:dyDescent="0.25">
      <c r="A25" s="1"/>
      <c r="B25" s="1"/>
      <c r="C25" s="6" t="s">
        <v>263</v>
      </c>
      <c r="D25" s="100" t="s">
        <v>245</v>
      </c>
      <c r="E25" s="101"/>
      <c r="F25" s="101"/>
      <c r="G25" s="102"/>
      <c r="H25" s="1"/>
      <c r="I25" s="1"/>
    </row>
    <row r="26" spans="1:9" x14ac:dyDescent="0.25">
      <c r="A26" s="1"/>
      <c r="B26" s="1"/>
      <c r="C26" s="6" t="s">
        <v>264</v>
      </c>
      <c r="D26" s="100" t="s">
        <v>72</v>
      </c>
      <c r="E26" s="101"/>
      <c r="F26" s="101"/>
      <c r="G26" s="102"/>
      <c r="H26" s="1"/>
      <c r="I26" s="1"/>
    </row>
    <row r="27" spans="1:9" x14ac:dyDescent="0.25">
      <c r="A27" s="1"/>
      <c r="B27" s="1"/>
      <c r="C27" s="6" t="s">
        <v>265</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266</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43"/>
      <c r="B50" s="43"/>
      <c r="C50" s="43"/>
      <c r="D50" s="43"/>
      <c r="E50" s="43"/>
      <c r="F50" s="43"/>
      <c r="G50" s="43"/>
      <c r="H50" s="43"/>
      <c r="I50" s="43"/>
    </row>
    <row r="51" spans="1:9" x14ac:dyDescent="0.25">
      <c r="A51" s="43"/>
      <c r="B51" s="43"/>
      <c r="C51" s="43"/>
      <c r="D51" s="43"/>
      <c r="E51" s="43"/>
      <c r="F51" s="43"/>
      <c r="G51" s="43"/>
      <c r="H51" s="43"/>
      <c r="I51" s="43"/>
    </row>
  </sheetData>
  <sheetProtection algorithmName="SHA-512" hashValue="aRiwjlwYKrcTvOrrew7EMo8BoNGrd4/ggDt10d94ksOJlpKNcsWyOtNEINpFqNnA4U8WDB0Ya+Vy5Zi6+I0Bpg==" saltValue="LxPOcFaEx72C+a04W+NjVw=="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209</v>
      </c>
      <c r="C8" s="151"/>
      <c r="D8" s="153"/>
      <c r="E8" s="1"/>
      <c r="F8" s="1"/>
    </row>
    <row r="9" spans="1:6" ht="15" customHeight="1" x14ac:dyDescent="0.25">
      <c r="A9" s="1"/>
      <c r="B9" s="35" t="s">
        <v>32</v>
      </c>
      <c r="C9" s="11" t="s">
        <v>246</v>
      </c>
      <c r="D9" s="11"/>
      <c r="E9" s="1"/>
      <c r="F9" s="1"/>
    </row>
    <row r="10" spans="1:6" ht="15" customHeight="1" x14ac:dyDescent="0.25">
      <c r="A10" s="1"/>
      <c r="B10" s="92" t="s">
        <v>276</v>
      </c>
      <c r="C10" s="9">
        <v>1133642</v>
      </c>
      <c r="D10" s="14" t="s">
        <v>3</v>
      </c>
      <c r="E10" s="1"/>
      <c r="F10" s="1"/>
    </row>
    <row r="11" spans="1:6" ht="15" customHeight="1" x14ac:dyDescent="0.25">
      <c r="A11" s="1"/>
      <c r="B11" s="92" t="s">
        <v>277</v>
      </c>
      <c r="C11" s="9">
        <v>123989</v>
      </c>
      <c r="D11" s="14" t="s">
        <v>3</v>
      </c>
      <c r="E11" s="1"/>
      <c r="F11" s="1"/>
    </row>
    <row r="12" spans="1:6" x14ac:dyDescent="0.25">
      <c r="A12" s="1"/>
      <c r="B12" s="92" t="s">
        <v>278</v>
      </c>
      <c r="C12" s="9">
        <v>1089664</v>
      </c>
      <c r="D12" s="14" t="s">
        <v>3</v>
      </c>
      <c r="E12" s="1"/>
      <c r="F12" s="1"/>
    </row>
    <row r="13" spans="1:6" x14ac:dyDescent="0.25">
      <c r="A13" s="1"/>
      <c r="B13" s="92" t="s">
        <v>279</v>
      </c>
      <c r="C13" s="9">
        <v>452083</v>
      </c>
      <c r="D13" s="14" t="s">
        <v>3</v>
      </c>
      <c r="E13" s="1"/>
      <c r="F13" s="1"/>
    </row>
    <row r="14" spans="1:6" x14ac:dyDescent="0.25">
      <c r="A14" s="1"/>
      <c r="B14" s="92" t="s">
        <v>280</v>
      </c>
      <c r="C14" s="9">
        <v>97911</v>
      </c>
      <c r="D14" s="14" t="s">
        <v>3</v>
      </c>
      <c r="E14" s="1"/>
      <c r="F14" s="1"/>
    </row>
    <row r="15" spans="1:6" x14ac:dyDescent="0.25">
      <c r="A15" s="1"/>
      <c r="B15" s="32" t="s">
        <v>210</v>
      </c>
      <c r="C15" s="12">
        <f>SUM(C10:C14)</f>
        <v>2897289</v>
      </c>
      <c r="D15" s="13" t="s">
        <v>3</v>
      </c>
      <c r="E15" s="1"/>
      <c r="F15" s="1"/>
    </row>
    <row r="16" spans="1:6" x14ac:dyDescent="0.25">
      <c r="A16" s="1"/>
      <c r="B16" s="32" t="s">
        <v>211</v>
      </c>
      <c r="C16" s="12">
        <f>C15*(1+'Fane 15. Nøgletal'!C15)^2</f>
        <v>3107247.8849870404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50" t="s">
        <v>105</v>
      </c>
      <c r="C19" s="151"/>
      <c r="D19" s="153"/>
      <c r="E19" s="1"/>
      <c r="F19" s="1"/>
    </row>
    <row r="20" spans="1:6" x14ac:dyDescent="0.25">
      <c r="A20" s="1"/>
      <c r="B20" s="92" t="s">
        <v>267</v>
      </c>
      <c r="C20" s="9">
        <v>2106226</v>
      </c>
      <c r="D20" s="14" t="s">
        <v>3</v>
      </c>
      <c r="E20" s="1"/>
      <c r="F20" s="1"/>
    </row>
    <row r="21" spans="1:6" x14ac:dyDescent="0.25">
      <c r="A21" s="1"/>
      <c r="B21" s="92" t="s">
        <v>268</v>
      </c>
      <c r="C21" s="9">
        <v>2106226</v>
      </c>
      <c r="D21" s="14" t="s">
        <v>3</v>
      </c>
      <c r="E21" s="1"/>
      <c r="F21" s="1"/>
    </row>
    <row r="22" spans="1:6" x14ac:dyDescent="0.25">
      <c r="A22" s="1"/>
      <c r="B22" s="92" t="s">
        <v>269</v>
      </c>
      <c r="C22" s="9">
        <v>2106226</v>
      </c>
      <c r="D22" s="14" t="s">
        <v>3</v>
      </c>
      <c r="E22" s="1"/>
      <c r="F22" s="1"/>
    </row>
    <row r="23" spans="1:6" x14ac:dyDescent="0.25">
      <c r="A23" s="1"/>
      <c r="B23" s="28" t="s">
        <v>270</v>
      </c>
      <c r="C23" s="9">
        <v>2106226</v>
      </c>
      <c r="D23" s="14" t="s">
        <v>3</v>
      </c>
      <c r="E23" s="1"/>
      <c r="F23" s="1"/>
    </row>
    <row r="24" spans="1:6" x14ac:dyDescent="0.25">
      <c r="A24" s="1"/>
      <c r="B24" s="150"/>
      <c r="C24" s="151"/>
      <c r="D24" s="153"/>
      <c r="E24" s="1"/>
      <c r="F24" s="1"/>
    </row>
    <row r="25" spans="1:6" x14ac:dyDescent="0.25">
      <c r="A25" s="1"/>
      <c r="B25" s="1"/>
      <c r="C25" s="1"/>
      <c r="D25" s="1"/>
      <c r="E25" s="1"/>
      <c r="F25" s="1"/>
    </row>
    <row r="26" spans="1:6" x14ac:dyDescent="0.25">
      <c r="A26" s="1"/>
      <c r="B26" s="1"/>
      <c r="C26" s="1"/>
      <c r="D26" s="1"/>
      <c r="E26" s="1"/>
      <c r="F26" s="1"/>
    </row>
    <row r="27" spans="1:6" x14ac:dyDescent="0.25">
      <c r="A27" s="1"/>
      <c r="B27" s="150" t="s">
        <v>86</v>
      </c>
      <c r="C27" s="151"/>
      <c r="D27" s="153"/>
      <c r="E27" s="1"/>
      <c r="F27" s="1"/>
    </row>
    <row r="28" spans="1:6" x14ac:dyDescent="0.25">
      <c r="A28" s="1"/>
      <c r="B28" s="92" t="s">
        <v>267</v>
      </c>
      <c r="C28" s="9">
        <v>0</v>
      </c>
      <c r="D28" s="14" t="s">
        <v>3</v>
      </c>
      <c r="E28" s="1"/>
      <c r="F28" s="1"/>
    </row>
    <row r="29" spans="1:6" x14ac:dyDescent="0.25">
      <c r="A29" s="1"/>
      <c r="B29" s="92" t="s">
        <v>268</v>
      </c>
      <c r="C29" s="9">
        <v>0</v>
      </c>
      <c r="D29" s="14" t="s">
        <v>3</v>
      </c>
      <c r="E29" s="1"/>
      <c r="F29" s="1"/>
    </row>
    <row r="30" spans="1:6" x14ac:dyDescent="0.25">
      <c r="A30" s="1"/>
      <c r="B30" s="92" t="s">
        <v>269</v>
      </c>
      <c r="C30" s="9">
        <v>0</v>
      </c>
      <c r="D30" s="14" t="s">
        <v>3</v>
      </c>
      <c r="E30" s="1"/>
      <c r="F30" s="1"/>
    </row>
    <row r="31" spans="1:6" x14ac:dyDescent="0.25">
      <c r="A31" s="1"/>
      <c r="B31" s="28" t="s">
        <v>270</v>
      </c>
      <c r="C31" s="9">
        <v>0</v>
      </c>
      <c r="D31" s="14" t="s">
        <v>3</v>
      </c>
      <c r="E31" s="1"/>
      <c r="F31" s="1"/>
    </row>
    <row r="32" spans="1:6" x14ac:dyDescent="0.25">
      <c r="A32" s="1"/>
      <c r="B32" s="150"/>
      <c r="C32" s="151"/>
      <c r="D32" s="15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3"/>
      <c r="B51" s="43"/>
      <c r="C51" s="43"/>
      <c r="D51" s="43"/>
      <c r="E51" s="43"/>
      <c r="F51" s="43"/>
    </row>
    <row r="52" spans="1:6" x14ac:dyDescent="0.25">
      <c r="A52" s="43"/>
      <c r="B52" s="43"/>
      <c r="C52" s="43"/>
      <c r="D52" s="43"/>
      <c r="E52" s="43"/>
      <c r="F52" s="43"/>
    </row>
  </sheetData>
  <sheetProtection algorithmName="SHA-512" hashValue="2TEgGhzWJaVMfNr6hw//8m4aMyoONgJkGI0nv3C7YbLJ5OVjTzclp0tNlNaXBfkOnXWnHvDcGbPuS7ZRPukQ7A==" saltValue="pd/yL45tRSI8yEGN5Brpa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212</v>
      </c>
      <c r="C3" s="122"/>
      <c r="D3" s="122"/>
      <c r="E3" s="122"/>
      <c r="F3" s="122"/>
      <c r="G3" s="1"/>
    </row>
    <row r="4" spans="1:7" ht="15" customHeight="1" x14ac:dyDescent="0.25">
      <c r="A4" s="1"/>
      <c r="B4" s="122"/>
      <c r="C4" s="122"/>
      <c r="D4" s="122"/>
      <c r="E4" s="122"/>
      <c r="F4" s="122"/>
      <c r="G4" s="1"/>
    </row>
    <row r="5" spans="1:7" ht="15" customHeight="1" x14ac:dyDescent="0.25">
      <c r="A5" s="1"/>
      <c r="B5" s="77"/>
      <c r="C5" s="77"/>
      <c r="D5" s="77"/>
      <c r="E5" s="77"/>
      <c r="F5" s="77"/>
      <c r="G5" s="1"/>
    </row>
    <row r="6" spans="1:7" ht="15" customHeight="1" x14ac:dyDescent="0.25">
      <c r="A6" s="1"/>
      <c r="B6" s="77"/>
      <c r="C6" s="77"/>
      <c r="D6" s="77"/>
      <c r="E6" s="77"/>
      <c r="F6" s="77"/>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11825809.415104136</v>
      </c>
      <c r="F9" s="14" t="s">
        <v>3</v>
      </c>
      <c r="G9" s="1"/>
    </row>
    <row r="10" spans="1:7" x14ac:dyDescent="0.25">
      <c r="A10" s="1"/>
      <c r="B10" s="144" t="s">
        <v>185</v>
      </c>
      <c r="C10" s="145"/>
      <c r="D10" s="146"/>
      <c r="E10" s="9">
        <v>10994022</v>
      </c>
      <c r="F10" s="14" t="s">
        <v>3</v>
      </c>
      <c r="G10" s="1"/>
    </row>
    <row r="11" spans="1:7" x14ac:dyDescent="0.25">
      <c r="A11" s="1"/>
      <c r="B11" s="144" t="s">
        <v>213</v>
      </c>
      <c r="C11" s="145"/>
      <c r="D11" s="146"/>
      <c r="E11" s="9">
        <v>-3531830.7623511404</v>
      </c>
      <c r="F11" s="14" t="s">
        <v>3</v>
      </c>
      <c r="G11" s="1"/>
    </row>
    <row r="12" spans="1:7" x14ac:dyDescent="0.25">
      <c r="A12" s="1"/>
      <c r="B12" s="144" t="s">
        <v>271</v>
      </c>
      <c r="C12" s="145"/>
      <c r="D12" s="146"/>
      <c r="E12" s="9">
        <v>19288000.652752995</v>
      </c>
      <c r="F12" s="14" t="s">
        <v>3</v>
      </c>
      <c r="G12" s="1"/>
    </row>
    <row r="13" spans="1:7" x14ac:dyDescent="0.25">
      <c r="A13" s="1"/>
      <c r="B13" s="32"/>
      <c r="C13" s="33"/>
      <c r="D13" s="33"/>
      <c r="E13" s="33"/>
      <c r="F13" s="20"/>
      <c r="G13" s="1"/>
    </row>
    <row r="14" spans="1:7" ht="83.25" customHeight="1" x14ac:dyDescent="0.25">
      <c r="A14" s="1"/>
      <c r="B14" s="132" t="s">
        <v>295</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272</v>
      </c>
      <c r="C17" s="145"/>
      <c r="D17" s="146"/>
      <c r="E17" s="9">
        <v>0</v>
      </c>
      <c r="F17" s="14" t="s">
        <v>3</v>
      </c>
      <c r="G17" s="1"/>
    </row>
    <row r="18" spans="1:7" x14ac:dyDescent="0.25">
      <c r="A18" s="1"/>
      <c r="B18" s="144" t="s">
        <v>187</v>
      </c>
      <c r="C18" s="145"/>
      <c r="D18" s="146"/>
      <c r="E18" s="9">
        <v>0</v>
      </c>
      <c r="F18" s="14" t="s">
        <v>3</v>
      </c>
      <c r="G18" s="1"/>
    </row>
    <row r="19" spans="1:7" x14ac:dyDescent="0.25">
      <c r="A19" s="1"/>
      <c r="B19" s="32"/>
      <c r="C19" s="33"/>
      <c r="D19" s="33"/>
      <c r="E19" s="33"/>
      <c r="F19" s="20"/>
      <c r="G19" s="1"/>
    </row>
    <row r="20" spans="1:7" ht="31.5" customHeight="1" x14ac:dyDescent="0.25">
      <c r="A20" s="1"/>
      <c r="B20" s="132" t="s">
        <v>296</v>
      </c>
      <c r="C20" s="133"/>
      <c r="D20" s="133"/>
      <c r="E20" s="133"/>
      <c r="F20" s="134"/>
      <c r="G20" s="1"/>
    </row>
    <row r="21" spans="1:7" ht="26.25" customHeight="1" x14ac:dyDescent="0.25">
      <c r="A21" s="1"/>
      <c r="B21" s="1"/>
      <c r="C21" s="1"/>
      <c r="D21" s="1"/>
      <c r="E21" s="1"/>
      <c r="F21" s="1"/>
      <c r="G21" s="1"/>
    </row>
    <row r="22" spans="1:7" ht="28.5" customHeight="1" x14ac:dyDescent="0.25">
      <c r="A22" s="1"/>
      <c r="B22" s="89" t="s">
        <v>214</v>
      </c>
      <c r="C22" s="90"/>
      <c r="D22" s="90"/>
      <c r="E22" s="90"/>
      <c r="F22" s="91"/>
      <c r="G22" s="1"/>
    </row>
    <row r="23" spans="1:7" x14ac:dyDescent="0.25">
      <c r="A23" s="1"/>
      <c r="B23" s="86" t="s">
        <v>215</v>
      </c>
      <c r="C23" s="87"/>
      <c r="D23" s="88"/>
      <c r="E23" s="9">
        <v>103927452.32533568</v>
      </c>
      <c r="F23" s="14" t="s">
        <v>3</v>
      </c>
      <c r="G23" s="1"/>
    </row>
    <row r="24" spans="1:7" x14ac:dyDescent="0.25">
      <c r="A24" s="1"/>
      <c r="B24" s="86" t="s">
        <v>216</v>
      </c>
      <c r="C24" s="87"/>
      <c r="D24" s="88"/>
      <c r="E24" s="9">
        <v>103074557</v>
      </c>
      <c r="F24" s="14" t="s">
        <v>3</v>
      </c>
      <c r="G24" s="1"/>
    </row>
    <row r="25" spans="1:7" x14ac:dyDescent="0.25">
      <c r="A25" s="1"/>
      <c r="B25" s="86" t="s">
        <v>33</v>
      </c>
      <c r="C25" s="87"/>
      <c r="D25" s="88"/>
      <c r="E25" s="9">
        <v>0</v>
      </c>
      <c r="F25" s="14" t="s">
        <v>3</v>
      </c>
      <c r="G25" s="1"/>
    </row>
    <row r="26" spans="1:7" x14ac:dyDescent="0.25">
      <c r="A26" s="1"/>
      <c r="B26" s="83" t="s">
        <v>217</v>
      </c>
      <c r="C26" s="84"/>
      <c r="D26" s="85"/>
      <c r="E26" s="62">
        <f>E23-(E24-E25)</f>
        <v>852895.32533568144</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273</v>
      </c>
      <c r="C29" s="151"/>
      <c r="D29" s="151"/>
      <c r="E29" s="151"/>
      <c r="F29" s="153"/>
      <c r="G29" s="1"/>
    </row>
    <row r="30" spans="1:7" x14ac:dyDescent="0.25">
      <c r="A30" s="1"/>
      <c r="B30" s="141" t="s">
        <v>274</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275</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A40" s="43"/>
      <c r="B40" s="43"/>
      <c r="C40" s="43"/>
      <c r="D40" s="43"/>
      <c r="E40" s="43"/>
      <c r="F40" s="43"/>
      <c r="G40" s="43"/>
    </row>
    <row r="41" spans="1:7" x14ac:dyDescent="0.25">
      <c r="A41" s="43"/>
      <c r="B41" s="43"/>
      <c r="C41" s="43"/>
      <c r="D41" s="43"/>
      <c r="E41" s="43"/>
      <c r="F41" s="43"/>
      <c r="G41" s="43"/>
    </row>
    <row r="42" spans="1:7" x14ac:dyDescent="0.25">
      <c r="A42" s="43"/>
      <c r="B42" s="43"/>
      <c r="C42" s="43"/>
      <c r="D42" s="43"/>
      <c r="E42" s="43"/>
      <c r="F42" s="43"/>
      <c r="G42" s="43"/>
    </row>
    <row r="43" spans="1:7" x14ac:dyDescent="0.25">
      <c r="B43" s="43"/>
      <c r="C43" s="43"/>
      <c r="D43" s="43"/>
      <c r="E43" s="43"/>
      <c r="F43" s="43"/>
    </row>
    <row r="44" spans="1:7" x14ac:dyDescent="0.25">
      <c r="A44" s="43"/>
      <c r="B44" s="43"/>
      <c r="C44" s="43"/>
      <c r="D44" s="43"/>
      <c r="E44" s="43"/>
      <c r="F44" s="43"/>
      <c r="G44" s="43"/>
    </row>
  </sheetData>
  <sheetProtection algorithmName="SHA-512" hashValue="EmijIgsXlOf15G2V+HPn3WP3yX4FK8YkxQR1cdap87FUICaqg59ovYhZswAV0ZtqR9lfOBDAQsgLqZZcXo4aCg==" saltValue="1a9Ee/eCmYIRNa9Z9UyMog=="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251</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252</v>
      </c>
      <c r="C8" s="151"/>
      <c r="D8" s="151"/>
      <c r="E8" s="151"/>
      <c r="F8" s="151"/>
      <c r="G8" s="151"/>
      <c r="H8" s="153"/>
      <c r="I8" s="1"/>
    </row>
    <row r="9" spans="1:9" ht="15" customHeight="1" x14ac:dyDescent="0.25">
      <c r="A9" s="1"/>
      <c r="B9" s="135" t="s">
        <v>253</v>
      </c>
      <c r="C9" s="136"/>
      <c r="D9" s="136"/>
      <c r="E9" s="136"/>
      <c r="F9" s="136"/>
      <c r="G9" s="136"/>
      <c r="H9" s="137"/>
      <c r="I9" s="1"/>
    </row>
    <row r="10" spans="1:9" x14ac:dyDescent="0.25">
      <c r="A10" s="1"/>
      <c r="B10" s="171" t="s">
        <v>283</v>
      </c>
      <c r="C10" s="172"/>
      <c r="D10" s="172"/>
      <c r="E10" s="172"/>
      <c r="F10" s="173"/>
      <c r="G10" s="44">
        <v>0</v>
      </c>
      <c r="H10" s="9" t="s">
        <v>3</v>
      </c>
      <c r="I10" s="1"/>
    </row>
    <row r="11" spans="1:9" x14ac:dyDescent="0.25">
      <c r="A11" s="1"/>
      <c r="B11" s="171" t="s">
        <v>284</v>
      </c>
      <c r="C11" s="172"/>
      <c r="D11" s="172"/>
      <c r="E11" s="172"/>
      <c r="F11" s="173"/>
      <c r="G11" s="44">
        <v>0</v>
      </c>
      <c r="H11" s="9" t="s">
        <v>3</v>
      </c>
      <c r="I11" s="1"/>
    </row>
    <row r="12" spans="1:9" x14ac:dyDescent="0.25">
      <c r="A12" s="1"/>
      <c r="B12" s="171" t="s">
        <v>285</v>
      </c>
      <c r="C12" s="172"/>
      <c r="D12" s="172"/>
      <c r="E12" s="172"/>
      <c r="F12" s="173"/>
      <c r="G12" s="9">
        <v>0</v>
      </c>
      <c r="H12" s="9" t="s">
        <v>3</v>
      </c>
      <c r="I12" s="1"/>
    </row>
    <row r="13" spans="1:9" x14ac:dyDescent="0.25">
      <c r="A13" s="1"/>
      <c r="B13" s="171" t="s">
        <v>286</v>
      </c>
      <c r="C13" s="172"/>
      <c r="D13" s="172"/>
      <c r="E13" s="172"/>
      <c r="F13" s="173"/>
      <c r="G13" s="9">
        <v>0</v>
      </c>
      <c r="H13" s="9" t="s">
        <v>3</v>
      </c>
      <c r="I13" s="1"/>
    </row>
    <row r="14" spans="1:9" x14ac:dyDescent="0.25">
      <c r="A14" s="1"/>
      <c r="B14" s="171" t="s">
        <v>287</v>
      </c>
      <c r="C14" s="172"/>
      <c r="D14" s="172"/>
      <c r="E14" s="172"/>
      <c r="F14" s="173"/>
      <c r="G14" s="9">
        <v>0</v>
      </c>
      <c r="H14" s="9" t="s">
        <v>3</v>
      </c>
      <c r="I14" s="1"/>
    </row>
    <row r="15" spans="1:9" x14ac:dyDescent="0.25">
      <c r="A15" s="1"/>
      <c r="B15" s="171" t="s">
        <v>288</v>
      </c>
      <c r="C15" s="172"/>
      <c r="D15" s="172"/>
      <c r="E15" s="172"/>
      <c r="F15" s="173"/>
      <c r="G15" s="9">
        <v>0</v>
      </c>
      <c r="H15" s="9" t="s">
        <v>3</v>
      </c>
      <c r="I15" s="1"/>
    </row>
    <row r="16" spans="1:9" x14ac:dyDescent="0.25">
      <c r="A16" s="1"/>
      <c r="B16" s="171" t="s">
        <v>289</v>
      </c>
      <c r="C16" s="172"/>
      <c r="D16" s="172"/>
      <c r="E16" s="172"/>
      <c r="F16" s="173"/>
      <c r="G16" s="9">
        <v>0</v>
      </c>
      <c r="H16" s="9" t="s">
        <v>3</v>
      </c>
      <c r="I16" s="1"/>
    </row>
    <row r="17" spans="1:9" x14ac:dyDescent="0.25">
      <c r="A17" s="1"/>
      <c r="B17" s="171" t="s">
        <v>290</v>
      </c>
      <c r="C17" s="172"/>
      <c r="D17" s="172"/>
      <c r="E17" s="172"/>
      <c r="F17" s="173"/>
      <c r="G17" s="9">
        <v>0</v>
      </c>
      <c r="H17" s="9" t="s">
        <v>3</v>
      </c>
      <c r="I17" s="1"/>
    </row>
    <row r="18" spans="1:9" x14ac:dyDescent="0.25">
      <c r="A18" s="1"/>
      <c r="B18" s="150" t="s">
        <v>254</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JGLiTTPaaDwYdzbgYPszDknuprLyzwIXIBVeHeF8pyPJ7d6E8IOgq7CoYB2UojsmB+j8m77CVmUe3gt/l74OQQ==" saltValue="0AKmxaS/1pMTlRxlQbe8j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255</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218</v>
      </c>
      <c r="C9" s="174"/>
      <c r="D9" s="174"/>
      <c r="E9" s="174"/>
      <c r="F9" s="174"/>
      <c r="G9" s="1"/>
    </row>
    <row r="10" spans="1:7" x14ac:dyDescent="0.25">
      <c r="A10" s="1"/>
      <c r="B10" s="132" t="s">
        <v>87</v>
      </c>
      <c r="C10" s="133"/>
      <c r="D10" s="134"/>
      <c r="E10" s="7">
        <v>0</v>
      </c>
      <c r="F10" s="8" t="s">
        <v>3</v>
      </c>
      <c r="G10" s="1"/>
    </row>
    <row r="11" spans="1:7" x14ac:dyDescent="0.25">
      <c r="A11" s="1"/>
      <c r="B11" s="144" t="s">
        <v>219</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220</v>
      </c>
      <c r="C14" s="145"/>
      <c r="D14" s="146"/>
      <c r="E14" s="9">
        <v>2106226</v>
      </c>
      <c r="F14" s="8" t="s">
        <v>3</v>
      </c>
      <c r="G14" s="1"/>
    </row>
    <row r="15" spans="1:7" x14ac:dyDescent="0.25">
      <c r="A15" s="1"/>
      <c r="B15" s="132" t="s">
        <v>221</v>
      </c>
      <c r="C15" s="133"/>
      <c r="D15" s="134"/>
      <c r="E15" s="9">
        <v>1753266</v>
      </c>
      <c r="F15" s="8" t="s">
        <v>3</v>
      </c>
      <c r="G15" s="1"/>
    </row>
    <row r="16" spans="1:7" x14ac:dyDescent="0.25">
      <c r="A16" s="1"/>
      <c r="B16" s="141" t="s">
        <v>88</v>
      </c>
      <c r="C16" s="142"/>
      <c r="D16" s="143"/>
      <c r="E16" s="10">
        <f>E15-E14</f>
        <v>-352960</v>
      </c>
      <c r="F16" s="11" t="s">
        <v>3</v>
      </c>
      <c r="G16" s="1"/>
    </row>
    <row r="17" spans="1:7" ht="15" customHeight="1" x14ac:dyDescent="0.25">
      <c r="A17" s="1"/>
      <c r="B17" s="32" t="s">
        <v>222</v>
      </c>
      <c r="C17" s="33"/>
      <c r="D17" s="33"/>
      <c r="E17" s="12">
        <f>E12+E16</f>
        <v>-352960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GEQCO4O/3N73DWSi6IymCV9JRhM5TUSMBlPIX4pENuJXptHrFUPGOANWJ4i/HHGTjFnu4ynzRRAeW7a/YOqHA==" saltValue="RHJLN1S74DSywXd9JWeiO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256</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229</v>
      </c>
      <c r="C8" s="151"/>
      <c r="D8" s="151"/>
      <c r="E8" s="151"/>
      <c r="F8" s="151"/>
      <c r="G8" s="151"/>
      <c r="H8" s="151"/>
      <c r="I8" s="151"/>
      <c r="J8" s="151"/>
      <c r="K8" s="153"/>
      <c r="L8" s="1"/>
    </row>
    <row r="9" spans="1:12" ht="39.75" customHeight="1" x14ac:dyDescent="0.25">
      <c r="A9" s="1"/>
      <c r="B9" s="19" t="s">
        <v>0</v>
      </c>
      <c r="C9" s="19" t="s">
        <v>1</v>
      </c>
      <c r="D9" s="175" t="s">
        <v>247</v>
      </c>
      <c r="E9" s="176"/>
      <c r="F9" s="175" t="s">
        <v>2</v>
      </c>
      <c r="G9" s="176"/>
      <c r="H9" s="175" t="s">
        <v>249</v>
      </c>
      <c r="I9" s="176"/>
      <c r="J9" s="175" t="s">
        <v>30</v>
      </c>
      <c r="K9" s="176"/>
      <c r="L9" s="1"/>
    </row>
    <row r="10" spans="1:12" x14ac:dyDescent="0.25">
      <c r="A10" s="1"/>
      <c r="B10" s="94" t="s">
        <v>291</v>
      </c>
      <c r="C10" s="38">
        <v>0</v>
      </c>
      <c r="D10" s="9">
        <v>0</v>
      </c>
      <c r="E10" s="14" t="s">
        <v>3</v>
      </c>
      <c r="F10" s="9">
        <f>IFERROR(D10/C10,0)</f>
        <v>0</v>
      </c>
      <c r="G10" s="14" t="s">
        <v>3</v>
      </c>
      <c r="H10" s="9">
        <v>0</v>
      </c>
      <c r="I10" s="14" t="s">
        <v>3</v>
      </c>
      <c r="J10" s="9">
        <v>0</v>
      </c>
      <c r="K10" s="14" t="s">
        <v>3</v>
      </c>
      <c r="L10" s="1"/>
    </row>
    <row r="11" spans="1:12" x14ac:dyDescent="0.25">
      <c r="A11" s="1"/>
      <c r="B11" s="150" t="s">
        <v>230</v>
      </c>
      <c r="C11" s="151"/>
      <c r="D11" s="151"/>
      <c r="E11" s="153"/>
      <c r="F11" s="12">
        <f>SUM(F10:F10)</f>
        <v>0</v>
      </c>
      <c r="G11" s="91" t="s">
        <v>248</v>
      </c>
      <c r="H11" s="12">
        <f>SUM(H10:H10)</f>
        <v>0</v>
      </c>
      <c r="I11" s="91" t="s">
        <v>248</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ro6DtRL9o+W4/03arQhTRfMgGiH5EMQcpcjynH7q7Dqx7D3xcWSqfbqcF69d21fOuufs9x6Y+xeE+qbbm2XfYA==" saltValue="cq3u7xJNFQkA6E+wpTNfg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81" t="s">
        <v>17</v>
      </c>
      <c r="C9" s="81" t="s">
        <v>11</v>
      </c>
      <c r="D9" s="82"/>
      <c r="E9" s="81" t="s">
        <v>31</v>
      </c>
      <c r="F9" s="97"/>
      <c r="G9" s="1"/>
    </row>
    <row r="10" spans="1:7" x14ac:dyDescent="0.25">
      <c r="A10" s="1"/>
      <c r="B10" s="25" t="s">
        <v>241</v>
      </c>
      <c r="C10" s="22">
        <f>'Fane 10. Anlægsprojekter (§19) '!H11</f>
        <v>0</v>
      </c>
      <c r="D10" s="14" t="s">
        <v>3</v>
      </c>
      <c r="E10" s="9">
        <f>'Fane 10. Anlægsprojekter (§19) '!F11+'Fane 10. Anlægsprojekter (§19) '!J11</f>
        <v>0</v>
      </c>
      <c r="F10" s="14" t="s">
        <v>3</v>
      </c>
      <c r="G10" s="1"/>
    </row>
    <row r="11" spans="1:7" x14ac:dyDescent="0.25">
      <c r="A11" s="1"/>
      <c r="B11" s="39" t="s">
        <v>282</v>
      </c>
      <c r="C11" s="22">
        <v>444428</v>
      </c>
      <c r="D11" s="14" t="s">
        <v>3</v>
      </c>
      <c r="E11" s="9">
        <v>649019</v>
      </c>
      <c r="F11" s="14" t="s">
        <v>3</v>
      </c>
      <c r="G11" s="1"/>
    </row>
    <row r="12" spans="1:7" x14ac:dyDescent="0.25">
      <c r="A12" s="1"/>
      <c r="B12" s="25" t="s">
        <v>292</v>
      </c>
      <c r="C12" s="22">
        <v>130751</v>
      </c>
      <c r="D12" s="14" t="s">
        <v>3</v>
      </c>
      <c r="E12" s="9">
        <v>2388819</v>
      </c>
      <c r="F12" s="14" t="s">
        <v>3</v>
      </c>
      <c r="G12" s="1"/>
    </row>
    <row r="13" spans="1:7" x14ac:dyDescent="0.25">
      <c r="A13" s="1"/>
      <c r="B13" s="25" t="s">
        <v>294</v>
      </c>
      <c r="C13" s="22">
        <v>212816</v>
      </c>
      <c r="D13" s="14" t="s">
        <v>3</v>
      </c>
      <c r="E13" s="9">
        <v>0</v>
      </c>
      <c r="F13" s="14" t="s">
        <v>3</v>
      </c>
      <c r="G13" s="1"/>
    </row>
    <row r="14" spans="1:7" x14ac:dyDescent="0.25">
      <c r="A14" s="1"/>
      <c r="B14" s="32" t="s">
        <v>144</v>
      </c>
      <c r="C14" s="12">
        <f>SUM(C10:C13)</f>
        <v>787995</v>
      </c>
      <c r="D14" s="13" t="s">
        <v>3</v>
      </c>
      <c r="E14" s="12">
        <f>SUM(E10:E13)</f>
        <v>3037838</v>
      </c>
      <c r="F14" s="13" t="s">
        <v>3</v>
      </c>
      <c r="G14" s="1"/>
    </row>
    <row r="15" spans="1:7" x14ac:dyDescent="0.25">
      <c r="A15" s="1"/>
      <c r="B15" s="32" t="s">
        <v>223</v>
      </c>
      <c r="C15" s="12">
        <f>C14*(1+'Fane 15. Nøgletal'!C15)</f>
        <v>816047.62200000009</v>
      </c>
      <c r="D15" s="13" t="s">
        <v>3</v>
      </c>
      <c r="E15" s="12">
        <f>E14*(1+'Fane 15. Nøgletal'!C15)</f>
        <v>3145985.0328000002</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2HfBVblkIlqxCE5fn7yv7VPQxw4QeOfym4INGvevzVUl9ebXJI3E9qTPftQX2gIu39Ka++lbxk9YbIJ6CJ7FSg==" saltValue="DOkXNyX9ayLsGvtJ1Bc1Q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89" t="s">
        <v>85</v>
      </c>
      <c r="C7" s="90"/>
      <c r="D7" s="90"/>
      <c r="E7" s="90"/>
      <c r="F7" s="91"/>
      <c r="G7" s="1"/>
    </row>
    <row r="8" spans="1:7" x14ac:dyDescent="0.25">
      <c r="A8" s="1"/>
      <c r="B8" s="81" t="s">
        <v>17</v>
      </c>
      <c r="C8" s="81" t="s">
        <v>11</v>
      </c>
      <c r="D8" s="82"/>
      <c r="E8" s="81" t="s">
        <v>31</v>
      </c>
      <c r="F8" s="97"/>
      <c r="G8" s="1"/>
    </row>
    <row r="9" spans="1:7" x14ac:dyDescent="0.25">
      <c r="A9" s="1"/>
      <c r="B9" s="25" t="s">
        <v>293</v>
      </c>
      <c r="C9" s="22">
        <v>630468</v>
      </c>
      <c r="D9" s="14" t="s">
        <v>3</v>
      </c>
      <c r="E9" s="22">
        <v>0</v>
      </c>
      <c r="F9" s="14" t="s">
        <v>3</v>
      </c>
      <c r="G9" s="1"/>
    </row>
    <row r="10" spans="1:7" x14ac:dyDescent="0.25">
      <c r="A10" s="1"/>
      <c r="B10" s="25" t="s">
        <v>294</v>
      </c>
      <c r="C10" s="22">
        <v>2128156</v>
      </c>
      <c r="D10" s="14" t="s">
        <v>3</v>
      </c>
      <c r="E10" s="22">
        <v>0</v>
      </c>
      <c r="F10" s="14" t="s">
        <v>3</v>
      </c>
      <c r="G10" s="1"/>
    </row>
    <row r="11" spans="1:7" x14ac:dyDescent="0.25">
      <c r="A11" s="1"/>
      <c r="B11" s="32" t="s">
        <v>232</v>
      </c>
      <c r="C11" s="12">
        <f>SUM(C9:C10)</f>
        <v>2758624</v>
      </c>
      <c r="D11" s="13" t="s">
        <v>3</v>
      </c>
      <c r="E11" s="12">
        <f>SUM(E9:E10)</f>
        <v>0</v>
      </c>
      <c r="F11" s="13" t="s">
        <v>3</v>
      </c>
      <c r="G11" s="1"/>
    </row>
    <row r="12" spans="1:7" x14ac:dyDescent="0.25">
      <c r="A12" s="1"/>
      <c r="B12" s="32" t="s">
        <v>145</v>
      </c>
      <c r="C12" s="12">
        <f>C11*(1+'Fane 15. Nøgletal'!$C$15)^2</f>
        <v>2958534.1985126403</v>
      </c>
      <c r="D12" s="13" t="s">
        <v>3</v>
      </c>
      <c r="E12" s="12">
        <f>E11*(1+'Fane 15. Nøgletal'!$C$15)^2</f>
        <v>0</v>
      </c>
      <c r="F12" s="13" t="s">
        <v>3</v>
      </c>
      <c r="G12" s="1"/>
    </row>
    <row r="13" spans="1:7" x14ac:dyDescent="0.25">
      <c r="A13" s="1"/>
      <c r="B13" s="1"/>
      <c r="C13" s="1"/>
      <c r="D13" s="1"/>
      <c r="E13" s="1"/>
      <c r="F13" s="1"/>
      <c r="G13" s="1"/>
    </row>
    <row r="14" spans="1:7" x14ac:dyDescent="0.25">
      <c r="A14" s="1"/>
      <c r="B14" s="95"/>
      <c r="C14" s="95"/>
      <c r="D14" s="95"/>
      <c r="E14" s="95"/>
      <c r="F14" s="95"/>
      <c r="G14" s="1"/>
    </row>
    <row r="15" spans="1:7" x14ac:dyDescent="0.25">
      <c r="A15" s="1"/>
      <c r="B15" s="50"/>
      <c r="C15" s="50"/>
      <c r="D15" s="50"/>
      <c r="E15" s="50"/>
      <c r="F15" s="51"/>
      <c r="G15" s="1"/>
    </row>
    <row r="16" spans="1:7" x14ac:dyDescent="0.25">
      <c r="A16" s="1"/>
      <c r="B16" s="52"/>
      <c r="C16" s="53"/>
      <c r="D16" s="54"/>
      <c r="E16" s="53"/>
      <c r="F16" s="54"/>
      <c r="G16" s="1"/>
    </row>
    <row r="17" spans="1:7" x14ac:dyDescent="0.25">
      <c r="A17" s="1"/>
      <c r="B17" s="52"/>
      <c r="C17" s="53"/>
      <c r="D17" s="54"/>
      <c r="E17" s="53"/>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0"/>
      <c r="C22" s="50"/>
      <c r="D22" s="50"/>
      <c r="E22" s="50"/>
      <c r="F22" s="51"/>
      <c r="G22" s="1"/>
    </row>
    <row r="23" spans="1:7" x14ac:dyDescent="0.25">
      <c r="A23" s="1"/>
      <c r="B23" s="52"/>
      <c r="C23" s="53"/>
      <c r="D23" s="54"/>
      <c r="E23" s="53"/>
      <c r="F23" s="54"/>
      <c r="G23" s="1"/>
    </row>
    <row r="24" spans="1:7" x14ac:dyDescent="0.25">
      <c r="A24" s="1"/>
      <c r="B24" s="52"/>
      <c r="C24" s="53"/>
      <c r="D24" s="54"/>
      <c r="E24" s="53"/>
      <c r="F24" s="54"/>
      <c r="G24" s="1"/>
    </row>
    <row r="25" spans="1:7" x14ac:dyDescent="0.25">
      <c r="A25" s="1"/>
      <c r="B25" s="31"/>
      <c r="C25" s="55"/>
      <c r="D25" s="56"/>
      <c r="E25" s="55"/>
      <c r="F25" s="56"/>
      <c r="G25" s="1"/>
    </row>
    <row r="26" spans="1:7" x14ac:dyDescent="0.25">
      <c r="A26" s="1"/>
      <c r="B26" s="31"/>
      <c r="C26" s="55"/>
      <c r="D26" s="56"/>
      <c r="E26" s="55"/>
      <c r="F26" s="56"/>
      <c r="G26" s="1"/>
    </row>
    <row r="27" spans="1:7" x14ac:dyDescent="0.25">
      <c r="A27" s="1"/>
      <c r="B27" s="49"/>
      <c r="C27" s="49"/>
      <c r="D27" s="49"/>
      <c r="E27" s="49"/>
      <c r="F27" s="49"/>
      <c r="G27" s="1"/>
    </row>
    <row r="28" spans="1:7" x14ac:dyDescent="0.25">
      <c r="A28" s="1"/>
      <c r="B28" s="177"/>
      <c r="C28" s="177"/>
      <c r="D28" s="177"/>
      <c r="E28" s="177"/>
      <c r="F28" s="177"/>
      <c r="G28" s="1"/>
    </row>
    <row r="29" spans="1:7" x14ac:dyDescent="0.25">
      <c r="A29" s="1"/>
      <c r="B29" s="50"/>
      <c r="C29" s="50"/>
      <c r="D29" s="50"/>
      <c r="E29" s="50"/>
      <c r="F29" s="51"/>
      <c r="G29" s="1"/>
    </row>
    <row r="30" spans="1:7" x14ac:dyDescent="0.25">
      <c r="A30" s="1"/>
      <c r="B30" s="52"/>
      <c r="C30" s="53"/>
      <c r="D30" s="54"/>
      <c r="E30" s="53"/>
      <c r="F30" s="54"/>
      <c r="G30" s="1"/>
    </row>
    <row r="31" spans="1:7" x14ac:dyDescent="0.25">
      <c r="A31" s="1"/>
      <c r="B31" s="52"/>
      <c r="C31" s="53"/>
      <c r="D31" s="54"/>
      <c r="E31" s="53"/>
      <c r="F31" s="54"/>
      <c r="G31" s="1"/>
    </row>
    <row r="32" spans="1:7" x14ac:dyDescent="0.25">
      <c r="A32" s="1"/>
      <c r="B32" s="31"/>
      <c r="C32" s="55"/>
      <c r="D32" s="56"/>
      <c r="E32" s="55"/>
      <c r="F32" s="56"/>
      <c r="G32" s="1"/>
    </row>
    <row r="33" spans="1:7" x14ac:dyDescent="0.25">
      <c r="A33" s="1"/>
      <c r="B33" s="31"/>
      <c r="C33" s="55"/>
      <c r="D33" s="56"/>
      <c r="E33" s="55"/>
      <c r="F33" s="56"/>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nohF9PsamU/n7qJOp7F1ipiSI7OpTT+qVccmjqEn/fqPRdAGNZToJ891lapyHz3L+9xbiFmOdoFptVvC+ZnaA==" saltValue="/HgiyPhxUa0wxxhMW+mnCQ=="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259</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239</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239</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239</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224</v>
      </c>
      <c r="C27" s="151"/>
      <c r="D27" s="151"/>
      <c r="E27" s="151"/>
      <c r="F27" s="153"/>
      <c r="G27" s="1"/>
    </row>
    <row r="28" spans="1:7" x14ac:dyDescent="0.25">
      <c r="A28" s="1"/>
      <c r="B28" s="171" t="s">
        <v>239</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225</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b+IHoCTKaIAcD3mY/r+qUM2yG5Q9C80RiNPZHaI04JWgylU+zUYpfT5IFW0AGrEPZuObgLI6rGT5cPPD3s/g1g==" saltValue="5XNd3fmjYiX/nEHI5MTY1g=="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2.7109375" style="2" customWidth="1"/>
    <col min="2" max="2" width="45.42578125" style="2" customWidth="1"/>
    <col min="3" max="3" width="14" style="2" customWidth="1"/>
    <col min="4" max="4" width="3.28515625" style="2" customWidth="1"/>
    <col min="5" max="5" width="14" style="2" customWidth="1"/>
    <col min="6" max="6" width="3.28515625" style="2" customWidth="1"/>
    <col min="7" max="7" width="2.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281</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226</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IDLHf1i/90pLOg2Eor/bp8DiLQZ6MFnTyGpHUWfK464rOMQn/8AlEmeikzCmFC3pqZMQt9cDRcBEyIkjkcDoCg==" saltValue="+TfDO8dCHon0kjQIroNND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233</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C7OTmPA1gcnBoiVxZ7JM+Bq95MEPgAusqx4TQ27eU0+9WWvaxP5tSw8sV/PjjwzDouCHfXI0qCtCXR4j98UXA==" saltValue="dXYEN5LY23efB7UZe25XI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1"/>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194</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78" t="s">
        <v>93</v>
      </c>
      <c r="C9" s="7">
        <f>'Fane 3. Omkostninger i ØR2022'!E20</f>
        <v>98778867.204220146</v>
      </c>
      <c r="D9" s="8" t="s">
        <v>3</v>
      </c>
      <c r="E9" s="1"/>
    </row>
    <row r="10" spans="1:5" x14ac:dyDescent="0.25">
      <c r="A10" s="1"/>
      <c r="B10" s="79" t="s">
        <v>235</v>
      </c>
      <c r="C10" s="7">
        <f>('Fane 3. Omkostninger i ØR2022'!E10+'Fane 3. Omkostninger i ØR2022'!E14)*(1+'Fane 15. Nøgletal'!C14)*(1-'Fane 15. Nøgletal'!C31-'Fane 5. Individuelt eff. krav'!G9)</f>
        <v>1042949.7041867425</v>
      </c>
      <c r="D10" s="8" t="s">
        <v>3</v>
      </c>
      <c r="E10" s="1"/>
    </row>
    <row r="11" spans="1:5" x14ac:dyDescent="0.25">
      <c r="A11" s="1"/>
      <c r="B11" s="79" t="s">
        <v>236</v>
      </c>
      <c r="C11" s="7">
        <f>('Fane 3. Omkostninger i ØR2022'!E11+'Fane 3. Omkostninger i ØR2022'!E15)*(1+'Fane 15. Nøgletal'!C14)*(1-'Fane 15. Nøgletal'!C25-'Fane 5. Individuelt eff. krav'!G9)</f>
        <v>2700921.8416955136</v>
      </c>
      <c r="D11" s="8" t="s">
        <v>3</v>
      </c>
      <c r="E11" s="1"/>
    </row>
    <row r="12" spans="1:5" ht="17.25" customHeight="1" x14ac:dyDescent="0.25">
      <c r="A12" s="1"/>
      <c r="B12" s="80" t="s">
        <v>39</v>
      </c>
      <c r="C12" s="40">
        <f>'Fane 11.1. Varige tillæg'!C15</f>
        <v>816047.62200000009</v>
      </c>
      <c r="D12" s="8" t="s">
        <v>3</v>
      </c>
      <c r="E12" s="1"/>
    </row>
    <row r="13" spans="1:5" ht="17.25" customHeight="1" x14ac:dyDescent="0.25">
      <c r="A13" s="1"/>
      <c r="B13" s="80" t="s">
        <v>40</v>
      </c>
      <c r="C13" s="40">
        <f>'Fane 11.1. Varige tillæg'!E15</f>
        <v>3145985.0328000002</v>
      </c>
      <c r="D13" s="8" t="s">
        <v>3</v>
      </c>
      <c r="E13" s="1"/>
    </row>
    <row r="14" spans="1:5" ht="17.25" customHeight="1" x14ac:dyDescent="0.25">
      <c r="A14" s="1"/>
      <c r="B14" s="80" t="s">
        <v>28</v>
      </c>
      <c r="C14" s="9">
        <f>-'Fane 14. Bortfald'!C13</f>
        <v>0</v>
      </c>
      <c r="D14" s="8" t="s">
        <v>3</v>
      </c>
      <c r="E14" s="1"/>
    </row>
    <row r="15" spans="1:5" ht="17.25" customHeight="1" x14ac:dyDescent="0.25">
      <c r="A15" s="1"/>
      <c r="B15" s="80" t="s">
        <v>27</v>
      </c>
      <c r="C15" s="9">
        <f>-'Fane 14. Bortfald'!E13</f>
        <v>0</v>
      </c>
      <c r="D15" s="8" t="s">
        <v>3</v>
      </c>
      <c r="E15" s="1"/>
    </row>
    <row r="16" spans="1:5" ht="17.25" customHeight="1" x14ac:dyDescent="0.25">
      <c r="A16" s="1"/>
      <c r="B16" s="80" t="s">
        <v>113</v>
      </c>
      <c r="C16" s="9">
        <f>'Fane 13. Tilknyttet virksomhed'!C12</f>
        <v>0</v>
      </c>
      <c r="D16" s="8" t="s">
        <v>3</v>
      </c>
      <c r="E16" s="1"/>
    </row>
    <row r="17" spans="1:5" ht="17.25" customHeight="1" x14ac:dyDescent="0.25">
      <c r="A17" s="1"/>
      <c r="B17" s="80" t="s">
        <v>114</v>
      </c>
      <c r="C17" s="9">
        <f>'Fane 13. Tilknyttet virksomhed'!E12</f>
        <v>0</v>
      </c>
      <c r="D17" s="8" t="s">
        <v>3</v>
      </c>
      <c r="E17" s="1"/>
    </row>
    <row r="18" spans="1:5" ht="17.25" customHeight="1" x14ac:dyDescent="0.25">
      <c r="A18" s="1"/>
      <c r="B18" s="80" t="s">
        <v>19</v>
      </c>
      <c r="C18" s="9">
        <f>SUM(C9)*'Fane 15. Nøgletal'!C14+SUM(C12:C17)*'Fane 15. Nøgletal'!C15</f>
        <v>467018.62428480649</v>
      </c>
      <c r="D18" s="8" t="s">
        <v>3</v>
      </c>
      <c r="E18" s="1"/>
    </row>
    <row r="19" spans="1:5" ht="17.25" customHeight="1" x14ac:dyDescent="0.25">
      <c r="A19" s="1"/>
      <c r="B19" s="80" t="s">
        <v>10</v>
      </c>
      <c r="C19" s="9">
        <f>-SUM(C9,C12:C18)*'Fane 5. Individuelt eff. krav'!G9</f>
        <v>-2064158.3696660991</v>
      </c>
      <c r="D19" s="8" t="s">
        <v>3</v>
      </c>
      <c r="E19" s="1"/>
    </row>
    <row r="20" spans="1:5" ht="17.25" customHeight="1" x14ac:dyDescent="0.25">
      <c r="A20" s="1"/>
      <c r="B20" s="80" t="s">
        <v>25</v>
      </c>
      <c r="C20" s="9">
        <f>-'Fane 4.1. Gen. krav - drift'!G48</f>
        <v>-586495.08466122008</v>
      </c>
      <c r="D20" s="8" t="s">
        <v>3</v>
      </c>
      <c r="E20" s="42"/>
    </row>
    <row r="21" spans="1:5" ht="15" customHeight="1" x14ac:dyDescent="0.25">
      <c r="A21" s="1"/>
      <c r="B21" s="80" t="s">
        <v>26</v>
      </c>
      <c r="C21" s="9">
        <f>-'Fane 4.2. Gen. krav - anlæg'!G47</f>
        <v>-1076913.6454994089</v>
      </c>
      <c r="D21" s="8" t="s">
        <v>3</v>
      </c>
      <c r="E21" s="1"/>
    </row>
    <row r="22" spans="1:5" ht="15" customHeight="1" x14ac:dyDescent="0.25">
      <c r="A22" s="1"/>
      <c r="B22" s="83" t="s">
        <v>21</v>
      </c>
      <c r="C22" s="10">
        <f>SUM(C9,C12:C21)</f>
        <v>99480351.383478224</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omk.'!C16+'Fane 6. Ikke-påvirkelige omk.'!C20+'Fane 6. Ikke-påvirkelige omk.'!C28</f>
        <v>5213473.8849870404</v>
      </c>
      <c r="D24" s="11" t="s">
        <v>3</v>
      </c>
      <c r="E24" s="1"/>
    </row>
    <row r="25" spans="1:5" ht="15" customHeight="1" x14ac:dyDescent="0.25">
      <c r="A25" s="1"/>
      <c r="B25" s="32" t="s">
        <v>74</v>
      </c>
      <c r="C25" s="33"/>
      <c r="D25" s="20"/>
      <c r="E25" s="1"/>
    </row>
    <row r="26" spans="1:5" ht="15" customHeight="1" x14ac:dyDescent="0.25">
      <c r="A26" s="1"/>
      <c r="B26" s="83" t="s">
        <v>74</v>
      </c>
      <c r="C26" s="10">
        <f>'Fane 12. Periodevise driftsomk.'!E13</f>
        <v>0</v>
      </c>
      <c r="D26" s="11" t="s">
        <v>3</v>
      </c>
      <c r="E26" s="1"/>
    </row>
    <row r="27" spans="1:5" ht="15" customHeight="1" x14ac:dyDescent="0.25">
      <c r="A27" s="1"/>
      <c r="B27" s="32" t="s">
        <v>73</v>
      </c>
      <c r="C27" s="33"/>
      <c r="D27" s="20"/>
      <c r="E27" s="1"/>
    </row>
    <row r="28" spans="1:5" x14ac:dyDescent="0.25">
      <c r="A28" s="1"/>
      <c r="B28" s="80" t="s">
        <v>69</v>
      </c>
      <c r="C28" s="9">
        <f>'Fane 11.2. Engangstillæg'!C12</f>
        <v>2958534.1985126403</v>
      </c>
      <c r="D28" s="8" t="s">
        <v>3</v>
      </c>
      <c r="E28" s="1"/>
    </row>
    <row r="29" spans="1:5" ht="15" customHeight="1" x14ac:dyDescent="0.25">
      <c r="A29" s="1"/>
      <c r="B29" s="80" t="s">
        <v>70</v>
      </c>
      <c r="C29" s="9">
        <f>'Fane 11.2. Engangstillæg'!E12</f>
        <v>0</v>
      </c>
      <c r="D29" s="8" t="s">
        <v>3</v>
      </c>
      <c r="E29" s="1"/>
    </row>
    <row r="30" spans="1:5" ht="15" customHeight="1" x14ac:dyDescent="0.25">
      <c r="A30" s="1"/>
      <c r="B30" s="80" t="s">
        <v>243</v>
      </c>
      <c r="C30" s="9">
        <f>-C28*('Fane 15. Nøgletal'!C31+'Fane 5. Individuelt eff. krav'!G9)</f>
        <v>-118341.36794050562</v>
      </c>
      <c r="D30" s="8" t="s">
        <v>3</v>
      </c>
      <c r="E30" s="1"/>
    </row>
    <row r="31" spans="1:5" ht="15" customHeight="1" x14ac:dyDescent="0.25">
      <c r="A31" s="1"/>
      <c r="B31" s="41" t="s">
        <v>244</v>
      </c>
      <c r="C31" s="9">
        <f>-C29*('Fane 15. Nøgletal'!C26+'Fane 5. Individuelt eff. krav'!G9)</f>
        <v>0</v>
      </c>
      <c r="D31" s="8" t="s">
        <v>3</v>
      </c>
      <c r="E31" s="1"/>
    </row>
    <row r="32" spans="1:5" x14ac:dyDescent="0.25">
      <c r="A32" s="1"/>
      <c r="B32" s="83" t="s">
        <v>75</v>
      </c>
      <c r="C32" s="10">
        <f>SUM(C28:C31)</f>
        <v>2840192.8305721348</v>
      </c>
      <c r="D32" s="11" t="s">
        <v>3</v>
      </c>
      <c r="E32" s="1"/>
    </row>
    <row r="33" spans="1:5" x14ac:dyDescent="0.25">
      <c r="A33" s="1"/>
      <c r="B33" s="32" t="s">
        <v>193</v>
      </c>
      <c r="C33" s="33"/>
      <c r="D33" s="20"/>
      <c r="E33" s="1"/>
    </row>
    <row r="34" spans="1:5" x14ac:dyDescent="0.25">
      <c r="A34" s="1"/>
      <c r="B34" s="96" t="s">
        <v>193</v>
      </c>
      <c r="C34" s="10">
        <f>'Fane 9. Korrektion af ØR2021'!E17</f>
        <v>-352960</v>
      </c>
      <c r="D34" s="11" t="s">
        <v>3</v>
      </c>
      <c r="E34" s="1"/>
    </row>
    <row r="35" spans="1:5" x14ac:dyDescent="0.25">
      <c r="A35" s="1"/>
      <c r="B35" s="32" t="s">
        <v>131</v>
      </c>
      <c r="C35" s="33"/>
      <c r="D35" s="20"/>
      <c r="E35" s="1"/>
    </row>
    <row r="36" spans="1:5" x14ac:dyDescent="0.25">
      <c r="A36" s="1"/>
      <c r="B36" s="96" t="s">
        <v>189</v>
      </c>
      <c r="C36" s="10">
        <f>'Fane 7. Kontrol af ØR2021'!E30</f>
        <v>0</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107181058.09903739</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c r="E50" s="43"/>
    </row>
    <row r="51" spans="1:5" x14ac:dyDescent="0.25">
      <c r="A51" s="43"/>
      <c r="B51" s="43"/>
      <c r="C51" s="43"/>
      <c r="D51" s="43"/>
    </row>
  </sheetData>
  <sheetProtection algorithmName="SHA-512" hashValue="qdAPsc7MMusfi8JCMIanUlrr+DM/DSiw5OdBl5pWOWTw2BUylEF7qjlb42YlxFhEaSEZkess/0ae28BeLfg5Dw==" saltValue="DKiRgYo6v4oV3rwjdjzOmA=="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262</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92" t="s">
        <v>180</v>
      </c>
      <c r="C9" s="26">
        <v>1.2699999999999999E-2</v>
      </c>
      <c r="D9" s="1"/>
    </row>
    <row r="10" spans="1:4" x14ac:dyDescent="0.25">
      <c r="A10" s="1"/>
      <c r="B10" s="92" t="s">
        <v>100</v>
      </c>
      <c r="C10" s="26">
        <v>1.7500000000000002E-2</v>
      </c>
      <c r="D10" s="1"/>
    </row>
    <row r="11" spans="1:4" x14ac:dyDescent="0.25">
      <c r="A11" s="1"/>
      <c r="B11" s="92"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188</v>
      </c>
      <c r="C14" s="29">
        <v>3.3E-3</v>
      </c>
      <c r="D14" s="1"/>
    </row>
    <row r="15" spans="1:4" x14ac:dyDescent="0.25">
      <c r="A15" s="1"/>
      <c r="B15" s="28" t="s">
        <v>227</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92" t="s">
        <v>181</v>
      </c>
      <c r="C20" s="23">
        <v>9.1000000000000004E-3</v>
      </c>
      <c r="D20" s="1"/>
    </row>
    <row r="21" spans="1:4" x14ac:dyDescent="0.25">
      <c r="A21" s="1"/>
      <c r="B21" s="92" t="s">
        <v>102</v>
      </c>
      <c r="C21" s="23">
        <v>1.77E-2</v>
      </c>
      <c r="D21" s="1"/>
    </row>
    <row r="22" spans="1:4" x14ac:dyDescent="0.25">
      <c r="A22" s="1"/>
      <c r="B22" s="92" t="s">
        <v>101</v>
      </c>
      <c r="C22" s="23">
        <v>8.6999999999999994E-3</v>
      </c>
      <c r="D22" s="1"/>
    </row>
    <row r="23" spans="1:4" x14ac:dyDescent="0.25">
      <c r="A23" s="1"/>
      <c r="B23" s="92" t="s">
        <v>103</v>
      </c>
      <c r="C23" s="23">
        <v>2.8400000000000002E-2</v>
      </c>
      <c r="D23" s="1"/>
    </row>
    <row r="24" spans="1:4" x14ac:dyDescent="0.25">
      <c r="A24" s="1"/>
      <c r="B24" s="92" t="s">
        <v>122</v>
      </c>
      <c r="C24" s="30">
        <v>2.75E-2</v>
      </c>
      <c r="D24" s="1"/>
    </row>
    <row r="25" spans="1:4" x14ac:dyDescent="0.25">
      <c r="A25" s="1"/>
      <c r="B25" s="92" t="s">
        <v>149</v>
      </c>
      <c r="C25" s="30">
        <v>1.4800000000000001E-2</v>
      </c>
      <c r="D25" s="1"/>
    </row>
    <row r="26" spans="1:4" x14ac:dyDescent="0.25">
      <c r="A26" s="1"/>
      <c r="B26" s="92" t="s">
        <v>228</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92"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MTCDZ+4najaM/4V8gLSiuHHceukVCZFstMZXdyqHu1aZgMHHGzWHB6MwM5M6pS9sGa6vLbgolhKGm9QIcSDbg==" saltValue="NVkRgHLrss8QKLi8FFeT9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78" t="s">
        <v>115</v>
      </c>
      <c r="C9" s="7">
        <f>'Fane 2.1. Økonomisk ramme 2023'!C22</f>
        <v>99480351.383478224</v>
      </c>
      <c r="D9" s="8" t="s">
        <v>3</v>
      </c>
      <c r="E9" s="1"/>
    </row>
    <row r="10" spans="1:5" ht="15" customHeight="1" x14ac:dyDescent="0.25">
      <c r="A10" s="1"/>
      <c r="B10" s="79" t="s">
        <v>19</v>
      </c>
      <c r="C10" s="7">
        <f>SUM(C9:C9)*'Fane 15. Nøgletal'!C15</f>
        <v>3541500.5092518246</v>
      </c>
      <c r="D10" s="8" t="s">
        <v>3</v>
      </c>
      <c r="E10" s="1"/>
    </row>
    <row r="11" spans="1:5" ht="15" customHeight="1" x14ac:dyDescent="0.25">
      <c r="A11" s="1"/>
      <c r="B11" s="79" t="s">
        <v>10</v>
      </c>
      <c r="C11" s="9">
        <f>-SUM(C9:C10)*'Fane 5. Individuelt eff. krav'!G9</f>
        <v>-2060437.0378546009</v>
      </c>
      <c r="D11" s="8" t="s">
        <v>3</v>
      </c>
      <c r="E11" s="1"/>
    </row>
    <row r="12" spans="1:5" ht="15" customHeight="1" x14ac:dyDescent="0.25">
      <c r="A12" s="1"/>
      <c r="B12" s="79" t="s">
        <v>25</v>
      </c>
      <c r="C12" s="9">
        <f>-'Fane 4.1. Gen. krav - drift'!G54</f>
        <v>-595226.82348165638</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100366188.0313938</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omk.'!C16*(1+'Fane 15. Nøgletal'!C15)+'Fane 6. Ikke-påvirkelige omk.'!C21+'Fane 6. Ikke-påvirkelige omk.'!C29</f>
        <v>5324091.9096925799</v>
      </c>
      <c r="D16" s="11" t="s">
        <v>3</v>
      </c>
      <c r="E16" s="1"/>
    </row>
    <row r="17" spans="1:5" ht="15" customHeight="1" x14ac:dyDescent="0.25">
      <c r="A17" s="1"/>
      <c r="B17" s="32" t="s">
        <v>74</v>
      </c>
      <c r="C17" s="33"/>
      <c r="D17" s="20"/>
      <c r="E17" s="1"/>
    </row>
    <row r="18" spans="1:5" ht="15" customHeight="1" x14ac:dyDescent="0.25">
      <c r="A18" s="1"/>
      <c r="B18" s="83"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189</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105690279.94108638</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Z675yQd93AVyaT23J29eTUuo/qFSDBRLrHv8IvnJno6OlFoC/ON0bmf544UaKc2EyLqb5BPaJnFei5HQgzhNxQ==" saltValue="0cOuFFdT9ecC5YIGoxK8v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137</v>
      </c>
      <c r="C8" s="7">
        <f>'Fane 2.2. Økonomisk ramme 2024'!C14</f>
        <v>100366188.0313938</v>
      </c>
      <c r="D8" s="8" t="s">
        <v>3</v>
      </c>
      <c r="E8" s="1"/>
    </row>
    <row r="9" spans="1:5" ht="15" customHeight="1" x14ac:dyDescent="0.25">
      <c r="A9" s="1"/>
      <c r="B9" s="79" t="s">
        <v>19</v>
      </c>
      <c r="C9" s="44">
        <f>SUM(C8:C8)*'Fane 15. Nøgletal'!C15</f>
        <v>3573036.2939176192</v>
      </c>
      <c r="D9" s="8" t="s">
        <v>3</v>
      </c>
      <c r="E9" s="1"/>
    </row>
    <row r="10" spans="1:5" ht="15" customHeight="1" x14ac:dyDescent="0.25">
      <c r="A10" s="1"/>
      <c r="B10" s="79" t="s">
        <v>10</v>
      </c>
      <c r="C10" s="9">
        <f>-SUM(C8:C9)*'Fane 5. Individuelt eff. krav'!G9</f>
        <v>-2078784.4865062286</v>
      </c>
      <c r="D10" s="8" t="s">
        <v>3</v>
      </c>
      <c r="E10" s="1"/>
    </row>
    <row r="11" spans="1:5" ht="15" customHeight="1" x14ac:dyDescent="0.25">
      <c r="A11" s="1"/>
      <c r="B11" s="79" t="s">
        <v>25</v>
      </c>
      <c r="C11" s="9">
        <f>-'Fane 4.1. Gen. krav - drift'!G59</f>
        <v>-604088.56042965117</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101256351.27837555</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Nøgletal'!C15)^2+'Fane 6. Ikke-påvirkelige omk.'!C22+'Fane 6. Ikke-påvirkelige omk.'!C30</f>
        <v>5438647.9360776357</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189</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106694999.21445319</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SBP95WwYazqjQ747J4uVLxZItQbXNK7c8e/RWV1TEKdVAOQnWCppQl18AgUGBp/dAjoFnrytoLp5U6yrplgE4Q==" saltValue="zkltmnLOyXwV+IULS6NXX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78" t="s">
        <v>198</v>
      </c>
      <c r="C8" s="7">
        <f>'Fane 2.3. Økonomisk ramme 2025'!C13</f>
        <v>101256351.27837555</v>
      </c>
      <c r="D8" s="8" t="s">
        <v>3</v>
      </c>
      <c r="E8" s="1"/>
    </row>
    <row r="9" spans="1:5" ht="15" customHeight="1" x14ac:dyDescent="0.25">
      <c r="A9" s="1"/>
      <c r="B9" s="79" t="s">
        <v>19</v>
      </c>
      <c r="C9" s="44">
        <f>SUM(C8:C8)*'Fane 15. Nøgletal'!C15</f>
        <v>3604726.1055101696</v>
      </c>
      <c r="D9" s="8" t="s">
        <v>3</v>
      </c>
      <c r="E9" s="1"/>
    </row>
    <row r="10" spans="1:5" ht="15" customHeight="1" x14ac:dyDescent="0.25">
      <c r="A10" s="1"/>
      <c r="B10" s="79" t="s">
        <v>10</v>
      </c>
      <c r="C10" s="9">
        <f>-SUM(C8:C9)*'Fane 5. Individuelt eff. krav'!G9</f>
        <v>-2097221.5476777144</v>
      </c>
      <c r="D10" s="8" t="s">
        <v>3</v>
      </c>
      <c r="E10" s="1"/>
    </row>
    <row r="11" spans="1:5" ht="15" customHeight="1" x14ac:dyDescent="0.25">
      <c r="A11" s="1"/>
      <c r="B11" s="79" t="s">
        <v>25</v>
      </c>
      <c r="C11" s="9">
        <f>-'Fane 4.1. Gen. krav - drift'!G64</f>
        <v>-613082.23091732792</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102150773.60529068</v>
      </c>
      <c r="D13" s="11" t="s">
        <v>3</v>
      </c>
      <c r="E13" s="1"/>
    </row>
    <row r="14" spans="1:5" x14ac:dyDescent="0.25">
      <c r="A14" s="1"/>
      <c r="B14" s="32" t="s">
        <v>12</v>
      </c>
      <c r="C14" s="33"/>
      <c r="D14" s="20"/>
      <c r="E14" s="1"/>
    </row>
    <row r="15" spans="1:5" ht="15" customHeight="1" x14ac:dyDescent="0.25">
      <c r="A15" s="1"/>
      <c r="B15" s="96" t="s">
        <v>12</v>
      </c>
      <c r="C15" s="10">
        <f>'Fane 6. Ikke-påvirkelige omk.'!C16*(1+'Fane 15. Nøgletal'!C15)^3+'Fane 6. Ikke-påvirkelige omk.'!C23+'Fane 6. Ikke-påvirkelige omk.'!C31</f>
        <v>5557282.1570019992</v>
      </c>
      <c r="D15" s="11" t="s">
        <v>3</v>
      </c>
      <c r="E15" s="1"/>
    </row>
    <row r="16" spans="1:5" ht="15" customHeight="1" x14ac:dyDescent="0.25">
      <c r="A16" s="1"/>
      <c r="B16" s="32" t="s">
        <v>74</v>
      </c>
      <c r="C16" s="33"/>
      <c r="D16" s="20"/>
      <c r="E16" s="1"/>
    </row>
    <row r="17" spans="1:5" ht="15" customHeight="1" x14ac:dyDescent="0.25">
      <c r="A17" s="1"/>
      <c r="B17" s="83"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189</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199</v>
      </c>
      <c r="C22" s="12">
        <f>SUM(C13,C15,C17,C19,C21)</f>
        <v>107708055.76229268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eFupMVpbQIEqIjtpJicqIfnG1fnHs4CHIY4O+CtEneOIEl1NBq/ImFKykZJEJCvYDndHmyatKc91d059rHww==" saltValue="GInK3zpTlnYAiXcxVW7mU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200</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201</v>
      </c>
      <c r="C8" s="33"/>
      <c r="D8" s="33"/>
      <c r="E8" s="33"/>
      <c r="F8" s="20"/>
      <c r="G8" s="1"/>
    </row>
    <row r="9" spans="1:7" x14ac:dyDescent="0.25">
      <c r="A9" s="1"/>
      <c r="B9" s="123" t="s">
        <v>24</v>
      </c>
      <c r="C9" s="124"/>
      <c r="D9" s="125"/>
      <c r="E9" s="63">
        <v>98288560.470885694</v>
      </c>
      <c r="F9" s="8" t="s">
        <v>3</v>
      </c>
      <c r="G9" s="1"/>
    </row>
    <row r="10" spans="1:7" ht="14.25" customHeight="1" x14ac:dyDescent="0.25">
      <c r="A10" s="1"/>
      <c r="B10" s="129" t="s">
        <v>39</v>
      </c>
      <c r="C10" s="130"/>
      <c r="D10" s="131"/>
      <c r="E10" s="63">
        <v>1082832.5943</v>
      </c>
      <c r="F10" s="8" t="s">
        <v>3</v>
      </c>
      <c r="G10" s="1"/>
    </row>
    <row r="11" spans="1:7" ht="14.25" customHeight="1" x14ac:dyDescent="0.25">
      <c r="A11" s="1"/>
      <c r="B11" s="129" t="s">
        <v>40</v>
      </c>
      <c r="C11" s="130"/>
      <c r="D11" s="131"/>
      <c r="E11" s="63">
        <v>2789098.7525000004</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337129.62299836281</v>
      </c>
      <c r="F16" s="8" t="s">
        <v>3</v>
      </c>
      <c r="G16" s="1"/>
    </row>
    <row r="17" spans="1:7" x14ac:dyDescent="0.25">
      <c r="A17" s="1"/>
      <c r="B17" s="126" t="s">
        <v>10</v>
      </c>
      <c r="C17" s="127"/>
      <c r="D17" s="128"/>
      <c r="E17" s="64">
        <v>-2049952.428813681</v>
      </c>
      <c r="F17" s="8" t="s">
        <v>3</v>
      </c>
      <c r="G17" s="1"/>
    </row>
    <row r="18" spans="1:7" x14ac:dyDescent="0.25">
      <c r="A18" s="1"/>
      <c r="B18" s="126" t="s">
        <v>25</v>
      </c>
      <c r="C18" s="127"/>
      <c r="D18" s="128"/>
      <c r="E18" s="64">
        <f>-'Fane 4.1. Gen. krav - drift'!G42</f>
        <v>-579305.74645949586</v>
      </c>
      <c r="F18" s="8" t="s">
        <v>3</v>
      </c>
      <c r="G18" s="1"/>
    </row>
    <row r="19" spans="1:7" x14ac:dyDescent="0.25">
      <c r="A19" s="1"/>
      <c r="B19" s="126" t="s">
        <v>26</v>
      </c>
      <c r="C19" s="127"/>
      <c r="D19" s="128"/>
      <c r="E19" s="64">
        <f>-'Fane 4.2. Gen. krav - anlæg'!G41</f>
        <v>-1089496.0611907309</v>
      </c>
      <c r="F19" s="8" t="s">
        <v>3</v>
      </c>
      <c r="G19" s="1"/>
    </row>
    <row r="20" spans="1:7" x14ac:dyDescent="0.25">
      <c r="A20" s="1"/>
      <c r="B20" s="138" t="s">
        <v>21</v>
      </c>
      <c r="C20" s="139"/>
      <c r="D20" s="140"/>
      <c r="E20" s="65">
        <f>SUM(E9:E19)</f>
        <v>98778867.204220146</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5715557.1856780304</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2152352.1550032096</v>
      </c>
      <c r="F26" s="8" t="s">
        <v>3</v>
      </c>
      <c r="G26" s="1"/>
    </row>
    <row r="27" spans="1:7" ht="15.75" customHeight="1" x14ac:dyDescent="0.25">
      <c r="A27" s="1"/>
      <c r="B27" s="129" t="s">
        <v>70</v>
      </c>
      <c r="C27" s="130"/>
      <c r="D27" s="131"/>
      <c r="E27" s="68">
        <v>0</v>
      </c>
      <c r="F27" s="8" t="s">
        <v>3</v>
      </c>
      <c r="G27" s="1"/>
    </row>
    <row r="28" spans="1:7" x14ac:dyDescent="0.25">
      <c r="A28" s="1"/>
      <c r="B28" s="83" t="s">
        <v>75</v>
      </c>
      <c r="C28" s="36"/>
      <c r="D28" s="37"/>
      <c r="E28" s="67">
        <f>SUM(E26:E27)</f>
        <v>2152352.1550032096</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-486120</v>
      </c>
      <c r="F30" s="11" t="s">
        <v>3</v>
      </c>
      <c r="G30" s="1"/>
    </row>
    <row r="31" spans="1:7" ht="15" customHeight="1" x14ac:dyDescent="0.25">
      <c r="A31" s="1"/>
      <c r="B31" s="32" t="s">
        <v>131</v>
      </c>
      <c r="C31" s="32"/>
      <c r="D31" s="32"/>
      <c r="E31" s="66"/>
      <c r="F31" s="20"/>
      <c r="G31" s="1"/>
    </row>
    <row r="32" spans="1:7" ht="15" customHeight="1" x14ac:dyDescent="0.25">
      <c r="A32" s="1"/>
      <c r="B32" s="135" t="s">
        <v>189</v>
      </c>
      <c r="C32" s="136"/>
      <c r="D32" s="137"/>
      <c r="E32" s="67">
        <v>0</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106160656.54490139</v>
      </c>
      <c r="F35" s="47" t="s">
        <v>3</v>
      </c>
      <c r="G35" s="1"/>
    </row>
    <row r="36" spans="1:7" ht="27" customHeight="1" x14ac:dyDescent="0.25">
      <c r="A36" s="1"/>
      <c r="B36" s="132" t="s">
        <v>202</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x1IN5dW1+dvpcSXaVadpgnbnkTtCKCVqCWAws/jvup7i7/mP0lhBeQOfN5eJKwbp4ShPW7ObHFihFgvvgvd1HQ==" saltValue="5raro46pVPWn+q4JZnAIgw=="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3" style="2" customWidth="1"/>
    <col min="2" max="5" width="9" style="2"/>
    <col min="6" max="6" width="26.28515625" style="2" customWidth="1"/>
    <col min="7" max="7" width="12.85546875" style="61" customWidth="1"/>
    <col min="8" max="8" width="4.42578125" style="2" customWidth="1"/>
    <col min="9" max="9" width="2.570312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26882057.813250385</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537641.15626500768</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26805443.948482621</v>
      </c>
      <c r="H11" s="14" t="s">
        <v>3</v>
      </c>
      <c r="I11" s="1"/>
    </row>
    <row r="12" spans="1:9" x14ac:dyDescent="0.25">
      <c r="A12" s="1"/>
      <c r="B12" s="144" t="s">
        <v>110</v>
      </c>
      <c r="C12" s="145"/>
      <c r="D12" s="145"/>
      <c r="E12" s="145"/>
      <c r="F12" s="146"/>
      <c r="G12" s="70">
        <v>116821.03132700028</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0</v>
      </c>
      <c r="H14" s="14" t="s">
        <v>3</v>
      </c>
      <c r="I14" s="1"/>
    </row>
    <row r="15" spans="1:9" x14ac:dyDescent="0.25">
      <c r="A15" s="1"/>
      <c r="B15" s="144" t="s">
        <v>42</v>
      </c>
      <c r="C15" s="145"/>
      <c r="D15" s="145"/>
      <c r="E15" s="145"/>
      <c r="F15" s="146"/>
      <c r="G15" s="70">
        <f>SUM(G11:G14)*'Fane 15. Nøgletal'!C31</f>
        <v>538445.29959619243</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26845536.524617165</v>
      </c>
      <c r="H19" s="14" t="s">
        <v>3</v>
      </c>
      <c r="I19" s="1"/>
    </row>
    <row r="20" spans="1:9" x14ac:dyDescent="0.25">
      <c r="A20" s="1"/>
      <c r="B20" s="156" t="s">
        <v>44</v>
      </c>
      <c r="C20" s="154"/>
      <c r="D20" s="154"/>
      <c r="E20" s="154"/>
      <c r="F20" s="155"/>
      <c r="G20" s="70">
        <v>285719.92221421993</v>
      </c>
      <c r="H20" s="14" t="s">
        <v>3</v>
      </c>
      <c r="I20" s="1"/>
    </row>
    <row r="21" spans="1:9" x14ac:dyDescent="0.25">
      <c r="A21" s="1"/>
      <c r="B21" s="144" t="s">
        <v>45</v>
      </c>
      <c r="C21" s="145"/>
      <c r="D21" s="145"/>
      <c r="E21" s="145"/>
      <c r="F21" s="146"/>
      <c r="G21" s="70">
        <f>(G19+G20)*'Fane 15. Nøgletal'!C31</f>
        <v>542625.12893662776</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27053764.362643659</v>
      </c>
      <c r="H25" s="14" t="s">
        <v>3</v>
      </c>
      <c r="I25" s="1"/>
    </row>
    <row r="26" spans="1:9" x14ac:dyDescent="0.25">
      <c r="A26" s="1"/>
      <c r="B26" s="147" t="s">
        <v>160</v>
      </c>
      <c r="C26" s="148"/>
      <c r="D26" s="148"/>
      <c r="E26" s="148"/>
      <c r="F26" s="149"/>
      <c r="G26" s="70">
        <f>G20*(1-'Fane 15. Nøgletal'!C31)*(1+'Fane 15. Nøgletal'!C11)</f>
        <v>284737.6171216474</v>
      </c>
      <c r="H26" s="14" t="s">
        <v>3</v>
      </c>
      <c r="I26" s="1"/>
    </row>
    <row r="27" spans="1:9" x14ac:dyDescent="0.25">
      <c r="A27" s="1"/>
      <c r="B27" s="156" t="s">
        <v>47</v>
      </c>
      <c r="C27" s="154"/>
      <c r="D27" s="154"/>
      <c r="E27" s="154"/>
      <c r="F27" s="155"/>
      <c r="G27" s="70">
        <v>780401.51328051009</v>
      </c>
      <c r="H27" s="14" t="s">
        <v>3</v>
      </c>
      <c r="I27" s="1"/>
    </row>
    <row r="28" spans="1:9" x14ac:dyDescent="0.25">
      <c r="A28" s="1"/>
      <c r="B28" s="144" t="s">
        <v>48</v>
      </c>
      <c r="C28" s="145"/>
      <c r="D28" s="145"/>
      <c r="E28" s="145"/>
      <c r="F28" s="146"/>
      <c r="G28" s="70">
        <f>SUM(G25,G27)*'Fane 15. Nøgletal'!C31</f>
        <v>556683.31751848338</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27756353.623121552</v>
      </c>
      <c r="H32" s="14" t="s">
        <v>3</v>
      </c>
      <c r="I32" s="1"/>
    </row>
    <row r="33" spans="1:9" x14ac:dyDescent="0.25">
      <c r="A33" s="1"/>
      <c r="B33" s="147" t="s">
        <v>160</v>
      </c>
      <c r="C33" s="154"/>
      <c r="D33" s="154"/>
      <c r="E33" s="154"/>
      <c r="F33" s="155"/>
      <c r="G33" s="70">
        <f>G26*(1-'Fane 15. Nøgletal'!C31)*(1+'Fane 15. Nøgletal'!C11)</f>
        <v>283758.68919398315</v>
      </c>
      <c r="H33" s="14" t="s">
        <v>3</v>
      </c>
      <c r="I33" s="1"/>
    </row>
    <row r="34" spans="1:9" x14ac:dyDescent="0.25">
      <c r="A34" s="1"/>
      <c r="B34" s="147" t="s">
        <v>107</v>
      </c>
      <c r="C34" s="154"/>
      <c r="D34" s="154"/>
      <c r="E34" s="154"/>
      <c r="F34" s="155"/>
      <c r="G34" s="70">
        <f>G27*(1-'Fane 15. Nøgletal'!C31)*(1+'Fane 15. Nøgletal'!C12)</f>
        <v>779859.9146302935</v>
      </c>
      <c r="H34" s="14" t="s">
        <v>3</v>
      </c>
      <c r="I34" s="1"/>
    </row>
    <row r="35" spans="1:9" x14ac:dyDescent="0.25">
      <c r="A35" s="1"/>
      <c r="B35" s="144" t="s">
        <v>123</v>
      </c>
      <c r="C35" s="145"/>
      <c r="D35" s="145"/>
      <c r="E35" s="145"/>
      <c r="F35" s="146"/>
      <c r="G35" s="70">
        <v>597915.43298675993</v>
      </c>
      <c r="H35" s="14" t="s">
        <v>3</v>
      </c>
      <c r="I35" s="1"/>
    </row>
    <row r="36" spans="1:9" x14ac:dyDescent="0.25">
      <c r="A36" s="1"/>
      <c r="B36" s="144" t="s">
        <v>54</v>
      </c>
      <c r="C36" s="145"/>
      <c r="D36" s="145"/>
      <c r="E36" s="145"/>
      <c r="F36" s="146"/>
      <c r="G36" s="70">
        <f>SUM(G32,G35)*'Fane 15. Nøgletal'!C31</f>
        <v>567085.38112216617</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27878881.381113604</v>
      </c>
      <c r="H40" s="14" t="s">
        <v>3</v>
      </c>
      <c r="I40" s="1"/>
    </row>
    <row r="41" spans="1:9" x14ac:dyDescent="0.25">
      <c r="A41" s="1"/>
      <c r="B41" s="144" t="s">
        <v>165</v>
      </c>
      <c r="C41" s="145"/>
      <c r="D41" s="145"/>
      <c r="E41" s="145"/>
      <c r="F41" s="146"/>
      <c r="G41" s="73">
        <v>1086405.9418611901</v>
      </c>
      <c r="H41" s="14" t="s">
        <v>3</v>
      </c>
      <c r="I41" s="1"/>
    </row>
    <row r="42" spans="1:9" x14ac:dyDescent="0.25">
      <c r="A42" s="1"/>
      <c r="B42" s="144" t="s">
        <v>164</v>
      </c>
      <c r="C42" s="145"/>
      <c r="D42" s="145"/>
      <c r="E42" s="145"/>
      <c r="F42" s="146"/>
      <c r="G42" s="70">
        <f>(G40+G41)*'Fane 15. Nøgletal'!C31</f>
        <v>579305.74645949586</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28479655.315717801</v>
      </c>
      <c r="H46" s="14" t="s">
        <v>3</v>
      </c>
      <c r="I46" s="1"/>
    </row>
    <row r="47" spans="1:9" x14ac:dyDescent="0.25">
      <c r="A47" s="1"/>
      <c r="B47" s="147" t="s">
        <v>237</v>
      </c>
      <c r="C47" s="148"/>
      <c r="D47" s="148"/>
      <c r="E47" s="148"/>
      <c r="F47" s="149"/>
      <c r="G47" s="73">
        <f>('Fane 2.1. Økonomisk ramme 2023'!C12+'Fane 2.1. Økonomisk ramme 2023'!C14+'Fane 2.1. Økonomisk ramme 2023'!C16)*(1+'Fane 15. Nøgletal'!C15)</f>
        <v>845098.91734320018</v>
      </c>
      <c r="H47" s="14" t="s">
        <v>3</v>
      </c>
      <c r="I47" s="1"/>
    </row>
    <row r="48" spans="1:9" x14ac:dyDescent="0.25">
      <c r="A48" s="1"/>
      <c r="B48" s="144" t="s">
        <v>176</v>
      </c>
      <c r="C48" s="145"/>
      <c r="D48" s="145"/>
      <c r="E48" s="145"/>
      <c r="F48" s="146"/>
      <c r="G48" s="70">
        <f>G46*'Fane 15. Nøgletal'!C31+'Fane 4.1. Gen. krav - drift'!G47*'Fane 15. Nøgletal'!C31</f>
        <v>586495.08466122008</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29761341.174082816</v>
      </c>
      <c r="H53" s="14" t="s">
        <v>3</v>
      </c>
      <c r="I53" s="1"/>
    </row>
    <row r="54" spans="1:9" x14ac:dyDescent="0.25">
      <c r="A54" s="1"/>
      <c r="B54" s="144" t="s">
        <v>126</v>
      </c>
      <c r="C54" s="145"/>
      <c r="D54" s="145"/>
      <c r="E54" s="145"/>
      <c r="F54" s="146"/>
      <c r="G54" s="70">
        <f>(G53)*'Fane 15. Nøgletal'!C31</f>
        <v>595226.82348165638</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89" t="s">
        <v>152</v>
      </c>
      <c r="C57" s="90"/>
      <c r="D57" s="90"/>
      <c r="E57" s="90"/>
      <c r="F57" s="90"/>
      <c r="G57" s="75"/>
      <c r="H57" s="91"/>
      <c r="I57" s="1"/>
    </row>
    <row r="58" spans="1:9" x14ac:dyDescent="0.25">
      <c r="A58" s="1"/>
      <c r="B58" s="86" t="s">
        <v>161</v>
      </c>
      <c r="C58" s="87"/>
      <c r="D58" s="87"/>
      <c r="E58" s="87"/>
      <c r="F58" s="88"/>
      <c r="G58" s="70">
        <f>(G53-G54)*(1+'Fane 15. Nøgletal'!C15)</f>
        <v>30204428.021482561</v>
      </c>
      <c r="H58" s="14" t="s">
        <v>3</v>
      </c>
      <c r="I58" s="1"/>
    </row>
    <row r="59" spans="1:9" x14ac:dyDescent="0.25">
      <c r="A59" s="1"/>
      <c r="B59" s="86" t="s">
        <v>162</v>
      </c>
      <c r="C59" s="87"/>
      <c r="D59" s="87"/>
      <c r="E59" s="87"/>
      <c r="F59" s="88"/>
      <c r="G59" s="70">
        <f>(G58)*'Fane 15. Nøgletal'!C31</f>
        <v>604088.56042965117</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89" t="s">
        <v>203</v>
      </c>
      <c r="C62" s="90"/>
      <c r="D62" s="90"/>
      <c r="E62" s="90"/>
      <c r="F62" s="90"/>
      <c r="G62" s="75"/>
      <c r="H62" s="91"/>
      <c r="I62" s="1"/>
    </row>
    <row r="63" spans="1:9" x14ac:dyDescent="0.25">
      <c r="A63" s="1"/>
      <c r="B63" s="86" t="s">
        <v>204</v>
      </c>
      <c r="C63" s="87"/>
      <c r="D63" s="87"/>
      <c r="E63" s="87"/>
      <c r="F63" s="88"/>
      <c r="G63" s="70">
        <f>(G58-G59)*(1+'Fane 15. Nøgletal'!C15)</f>
        <v>30654111.545866396</v>
      </c>
      <c r="H63" s="14" t="s">
        <v>3</v>
      </c>
      <c r="I63" s="1"/>
    </row>
    <row r="64" spans="1:9" x14ac:dyDescent="0.25">
      <c r="A64" s="1"/>
      <c r="B64" s="86" t="s">
        <v>205</v>
      </c>
      <c r="C64" s="87"/>
      <c r="D64" s="87"/>
      <c r="E64" s="87"/>
      <c r="F64" s="88"/>
      <c r="G64" s="70">
        <f>(G63)*'Fane 15. Nøgletal'!C31</f>
        <v>613082.23091732792</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vee61RaUERzCEPlHMjH+41kpqs+Jxhi7gZgkjUCKUO61mXhYFW4oFfu2ePSokHtfcfC0X3jbGR2tR+FDMRXbeg==" saltValue="uciPgFLtX4nfkMHwX5kCVQ=="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1.7109375" style="2" customWidth="1"/>
    <col min="2" max="5" width="9" style="2"/>
    <col min="6" max="6" width="32.28515625" style="2" customWidth="1"/>
    <col min="7" max="7" width="11" style="2" customWidth="1"/>
    <col min="8" max="8" width="3.5703125" style="2" customWidth="1"/>
    <col min="9" max="9" width="1.425781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65110348.012595333</v>
      </c>
      <c r="H6" s="14" t="s">
        <v>3</v>
      </c>
      <c r="I6" s="1"/>
    </row>
    <row r="7" spans="1:9" x14ac:dyDescent="0.25">
      <c r="A7" s="1"/>
      <c r="B7" s="144" t="s">
        <v>163</v>
      </c>
      <c r="C7" s="145"/>
      <c r="D7" s="145"/>
      <c r="E7" s="145"/>
      <c r="F7" s="146"/>
      <c r="G7" s="70">
        <f>G6*'Fane 15. Nøgletal'!C20</f>
        <v>592504.16691461753</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65646906.112980127</v>
      </c>
      <c r="H11" s="14" t="s">
        <v>3</v>
      </c>
      <c r="I11" s="1"/>
    </row>
    <row r="12" spans="1:9" x14ac:dyDescent="0.25">
      <c r="A12" s="1"/>
      <c r="B12" s="144" t="s">
        <v>111</v>
      </c>
      <c r="C12" s="145"/>
      <c r="D12" s="145"/>
      <c r="E12" s="145"/>
      <c r="F12" s="146"/>
      <c r="G12" s="70">
        <v>-221815.57321785053</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1158024.1025537923</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65391740.099859633</v>
      </c>
      <c r="H18" s="14" t="s">
        <v>3</v>
      </c>
      <c r="I18" s="1"/>
    </row>
    <row r="19" spans="1:9" x14ac:dyDescent="0.25">
      <c r="A19" s="1"/>
      <c r="B19" s="156" t="s">
        <v>59</v>
      </c>
      <c r="C19" s="154"/>
      <c r="D19" s="154"/>
      <c r="E19" s="154"/>
      <c r="F19" s="155"/>
      <c r="G19" s="70">
        <v>1639829.1763689697</v>
      </c>
      <c r="H19" s="14" t="s">
        <v>3</v>
      </c>
      <c r="I19" s="1"/>
    </row>
    <row r="20" spans="1:9" x14ac:dyDescent="0.25">
      <c r="A20" s="1"/>
      <c r="B20" s="144" t="s">
        <v>60</v>
      </c>
      <c r="C20" s="145"/>
      <c r="D20" s="145"/>
      <c r="E20" s="145"/>
      <c r="F20" s="146"/>
      <c r="G20" s="70">
        <f>G18*'Fane 15. Nøgletal'!C21+G19*'Fane 15. Nøgletal'!C22</f>
        <v>1171700.3136019257</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67011441.331875123</v>
      </c>
      <c r="H24" s="14" t="s">
        <v>3</v>
      </c>
      <c r="I24" s="1"/>
    </row>
    <row r="25" spans="1:9" x14ac:dyDescent="0.25">
      <c r="A25" s="1"/>
      <c r="B25" s="147" t="s">
        <v>171</v>
      </c>
      <c r="C25" s="154"/>
      <c r="D25" s="154"/>
      <c r="E25" s="154"/>
      <c r="F25" s="155"/>
      <c r="G25" s="70">
        <f>G19*(1-'Fane 15. Nøgletal'!C22)*(1+'Fane 15. Nøgletal'!C11)</f>
        <v>1653034.6715313934</v>
      </c>
      <c r="H25" s="14" t="s">
        <v>3</v>
      </c>
      <c r="I25" s="1"/>
    </row>
    <row r="26" spans="1:9" x14ac:dyDescent="0.25">
      <c r="A26" s="1"/>
      <c r="B26" s="156" t="s">
        <v>62</v>
      </c>
      <c r="C26" s="154"/>
      <c r="D26" s="154"/>
      <c r="E26" s="154"/>
      <c r="F26" s="155"/>
      <c r="G26" s="70">
        <v>3194446.882744458</v>
      </c>
      <c r="H26" s="14" t="s">
        <v>3</v>
      </c>
      <c r="I26" s="1"/>
    </row>
    <row r="27" spans="1:9" x14ac:dyDescent="0.25">
      <c r="A27" s="1"/>
      <c r="B27" s="144" t="s">
        <v>63</v>
      </c>
      <c r="C27" s="145"/>
      <c r="D27" s="145"/>
      <c r="E27" s="145"/>
      <c r="F27" s="146"/>
      <c r="G27" s="70">
        <f>(G24-G25)*'Fane 15. Nøgletal'!C22+G25*'Fane 15. Nøgletal'!C23+G26*'Fane 15. Nøgletal'!C24</f>
        <v>703411.61189195467</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70156304.688421443</v>
      </c>
      <c r="H31" s="14" t="s">
        <v>3</v>
      </c>
      <c r="I31" s="1"/>
    </row>
    <row r="32" spans="1:9" x14ac:dyDescent="0.25">
      <c r="A32" s="1"/>
      <c r="B32" s="147" t="s">
        <v>172</v>
      </c>
      <c r="C32" s="154"/>
      <c r="D32" s="154"/>
      <c r="E32" s="154"/>
      <c r="F32" s="155"/>
      <c r="G32" s="70">
        <f>G25*(1-'Fane 15. Nøgletal'!C22)*(1+'Fane 15. Nøgletal'!C11)</f>
        <v>1666346.5101501953</v>
      </c>
      <c r="H32" s="14" t="s">
        <v>3</v>
      </c>
      <c r="I32" s="1"/>
    </row>
    <row r="33" spans="1:9" x14ac:dyDescent="0.25">
      <c r="A33" s="1"/>
      <c r="B33" s="147" t="s">
        <v>106</v>
      </c>
      <c r="C33" s="154"/>
      <c r="D33" s="154"/>
      <c r="E33" s="154"/>
      <c r="F33" s="155"/>
      <c r="G33" s="70">
        <f>G26*(1-'Fane 15. Nøgletal'!C23)*(1+'Fane 15. Nøgletal'!C12)</f>
        <v>3164867.9657226233</v>
      </c>
      <c r="H33" s="14" t="s">
        <v>3</v>
      </c>
      <c r="I33" s="1"/>
    </row>
    <row r="34" spans="1:9" x14ac:dyDescent="0.25">
      <c r="A34" s="1"/>
      <c r="B34" s="144" t="s">
        <v>127</v>
      </c>
      <c r="C34" s="145"/>
      <c r="D34" s="145"/>
      <c r="E34" s="145"/>
      <c r="F34" s="146"/>
      <c r="G34" s="70">
        <v>1735423.85624328</v>
      </c>
      <c r="H34" s="14" t="s">
        <v>3</v>
      </c>
      <c r="I34" s="1"/>
    </row>
    <row r="35" spans="1:9" x14ac:dyDescent="0.25">
      <c r="A35" s="1"/>
      <c r="B35" s="144" t="s">
        <v>66</v>
      </c>
      <c r="C35" s="145"/>
      <c r="D35" s="145"/>
      <c r="E35" s="145"/>
      <c r="F35" s="146"/>
      <c r="G35" s="70">
        <f>(G31-SUM(G32:G33))*'Fane 15. Nøgletal'!C21+G32*'Fane 15. Nøgletal'!C22+G33*'Fane 15. Nøgletal'!C23+G34*'Fane 15. Nøgletal'!C24</f>
        <v>1308357.7176736302</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70816295.950720176</v>
      </c>
      <c r="H39" s="14" t="s">
        <v>3</v>
      </c>
      <c r="I39" s="1"/>
    </row>
    <row r="40" spans="1:9" x14ac:dyDescent="0.25">
      <c r="A40" s="1"/>
      <c r="B40" s="144" t="s">
        <v>141</v>
      </c>
      <c r="C40" s="145"/>
      <c r="D40" s="145"/>
      <c r="E40" s="145"/>
      <c r="F40" s="146"/>
      <c r="G40" s="70">
        <v>2798302.7783832508</v>
      </c>
      <c r="H40" s="14" t="s">
        <v>3</v>
      </c>
      <c r="I40" s="1"/>
    </row>
    <row r="41" spans="1:9" x14ac:dyDescent="0.25">
      <c r="A41" s="1"/>
      <c r="B41" s="144" t="s">
        <v>142</v>
      </c>
      <c r="C41" s="145"/>
      <c r="D41" s="145"/>
      <c r="E41" s="145"/>
      <c r="F41" s="146"/>
      <c r="G41" s="70">
        <f>(G39+G40)*'Fane 15. Nøgletal'!C25</f>
        <v>1089496.0611907309</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238</v>
      </c>
      <c r="C44" s="151"/>
      <c r="D44" s="151"/>
      <c r="E44" s="151"/>
      <c r="F44" s="151"/>
      <c r="G44" s="152"/>
      <c r="H44" s="153"/>
      <c r="I44" s="1"/>
    </row>
    <row r="45" spans="1:9" x14ac:dyDescent="0.25">
      <c r="A45" s="1"/>
      <c r="B45" s="144" t="s">
        <v>67</v>
      </c>
      <c r="C45" s="145"/>
      <c r="D45" s="145"/>
      <c r="E45" s="145"/>
      <c r="F45" s="146"/>
      <c r="G45" s="70">
        <f>(G39+G40-G41)*(1+'Fane 15. Nøgletal'!C14)</f>
        <v>72764435.506716818</v>
      </c>
      <c r="H45" s="14" t="s">
        <v>3</v>
      </c>
      <c r="I45" s="1"/>
    </row>
    <row r="46" spans="1:9" x14ac:dyDescent="0.25">
      <c r="A46" s="1"/>
      <c r="B46" s="147" t="s">
        <v>242</v>
      </c>
      <c r="C46" s="148"/>
      <c r="D46" s="148"/>
      <c r="E46" s="148"/>
      <c r="F46" s="149"/>
      <c r="G46" s="73">
        <f>(SUM('Fane 2.1. Økonomisk ramme 2023'!C13,'Fane 2.1. Økonomisk ramme 2023'!C15,'Fane 2.1. Økonomisk ramme 2023'!C17))*(1+'Fane 15. Nøgletal'!C15)</f>
        <v>3257982.0999676804</v>
      </c>
      <c r="H46" s="14" t="s">
        <v>3</v>
      </c>
      <c r="I46" s="1"/>
    </row>
    <row r="47" spans="1:9" x14ac:dyDescent="0.25">
      <c r="A47" s="1"/>
      <c r="B47" s="144" t="s">
        <v>177</v>
      </c>
      <c r="C47" s="145"/>
      <c r="D47" s="145"/>
      <c r="E47" s="145"/>
      <c r="F47" s="146"/>
      <c r="G47" s="70">
        <f>G45*'Fane 15. Nøgletal'!C25+G46*'Fane 15. Nøgletal'!C26</f>
        <v>1076913.6454994089</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77613563.902203277</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80376606.777121723</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206</v>
      </c>
      <c r="C60" s="151"/>
      <c r="D60" s="151"/>
      <c r="E60" s="151"/>
      <c r="F60" s="151"/>
      <c r="G60" s="152"/>
      <c r="H60" s="153"/>
      <c r="I60" s="1"/>
    </row>
    <row r="61" spans="1:9" x14ac:dyDescent="0.25">
      <c r="A61" s="1"/>
      <c r="B61" s="144" t="s">
        <v>207</v>
      </c>
      <c r="C61" s="145"/>
      <c r="D61" s="145"/>
      <c r="E61" s="145"/>
      <c r="F61" s="146"/>
      <c r="G61" s="70">
        <f>(G56-G57)*(1+'Fane 15. Nøgletal'!C15)</f>
        <v>83238013.978387266</v>
      </c>
      <c r="H61" s="14" t="s">
        <v>3</v>
      </c>
      <c r="I61" s="1"/>
    </row>
    <row r="62" spans="1:9" x14ac:dyDescent="0.25">
      <c r="A62" s="1"/>
      <c r="B62" s="144" t="s">
        <v>208</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C6R0aG+50dG+IU4p7TZd/MMO/Ab1RkDnb5Vh/gbUNik+KSN4va9xqtMvWO007hMn9+DGs478VTicOJhuN4GCFA==" saltValue="3Br1yDKazj5o/5ZigB6qfQ=="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0.02</v>
      </c>
      <c r="H9" s="1"/>
    </row>
    <row r="10" spans="1:8" x14ac:dyDescent="0.25">
      <c r="A10" s="1"/>
      <c r="B10" s="32"/>
      <c r="C10" s="33"/>
      <c r="D10" s="33"/>
      <c r="E10" s="33"/>
      <c r="F10" s="33"/>
      <c r="G10" s="20"/>
      <c r="H10" s="1"/>
    </row>
    <row r="11" spans="1:8" ht="25.5" customHeight="1" x14ac:dyDescent="0.25">
      <c r="A11" s="1"/>
      <c r="B11" s="158" t="s">
        <v>240</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FhH8t6pVPKMMkp1tndNgkZW39iNu4yh5bYT0IER3dGI5BPxPGWHwaY65X5x0sP3U/jBCwilQ5KS/SIr0VIprLg==" saltValue="B960dWMkjIf3N/aXDSPaeA=="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2022-12-01T08:54:23Z</dcterms:modified>
</cp:coreProperties>
</file>