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Gentofte AS (V06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Kap4_invest_ikke_godkendt_tekst" localSheetId="12">'Fane 9. Anlægsprojekter (§ 19) '!#REF!</definedName>
    <definedName name="Kap4_invest_levetid_tekst" localSheetId="12">'Fane 9. Anlægsprojekter (§ 19) '!$B$11</definedName>
    <definedName name="Kap4_invest_overskrift" localSheetId="12">'Fane 9. Anlægsprojekter (§ 19) '!$B$10</definedName>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2" i="37" l="1"/>
  <c r="E32" i="27" l="1"/>
  <c r="C19" i="23"/>
  <c r="C19" i="22"/>
  <c r="C19" i="15"/>
  <c r="C31" i="2"/>
  <c r="G18" i="40" l="1"/>
  <c r="E25" i="32" l="1"/>
  <c r="E29" i="32" s="1"/>
  <c r="E31" i="32" s="1"/>
  <c r="C17" i="15" l="1"/>
  <c r="C29" i="2"/>
  <c r="F10" i="11"/>
  <c r="E12" i="39" l="1"/>
  <c r="C12" i="39"/>
  <c r="E11" i="29"/>
  <c r="E12" i="29" s="1"/>
  <c r="C14" i="2" s="1"/>
  <c r="C11" i="29"/>
  <c r="J11" i="11"/>
  <c r="H11" i="11"/>
  <c r="C15" i="19"/>
  <c r="C16"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<sst xmlns="http://schemas.openxmlformats.org/spreadsheetml/2006/main" count="514" uniqueCount="256">
  <si>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</si>
  <si>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</si>
  <si>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</si>
  <si>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</si>
  <si>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</si>
  <si>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</si>
  <si>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</si>
  <si>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</si>
  <si>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</si>
  <si>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</si>
  <si>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</si>
  <si>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</si>
  <si>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</si>
  <si>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</si>
  <si>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</si>
  <si>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</si>
  <si>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</si>
  <si>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</si>
  <si>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</si>
  <si>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</si>
  <si>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</si>
  <si>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</si>
  <si>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</si>
  <si>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</si>
  <si>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</si>
  <si>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</si>
  <si>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</si>
  <si>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</si>
  <si>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</si>
  <si>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</si>
  <si>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</si>
  <si>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</si>
  <si>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</si>
  <si>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</si>
  <si>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</si>
  <si>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</si>
  <si>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</si>
  <si>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</si>
  <si>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</si>
  <si>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</si>
  <si>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</si>
  <si>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</si>
  <si>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</si>
  <si>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</si>
  <si>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</si>
  <si>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</si>
  <si>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</si>
  <si>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</si>
  <si>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</si>
  <si>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</si>
  <si>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</si>
  <si>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</si>
  <si>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</si>
  <si>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</si>
  <si>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</si>
  <si>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</si>
  <si>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</si>
  <si>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</si>
  <si>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</si>
  <si>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</si>
  <si>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</si>
  <si>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</si>
  <si>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</si>
  <si>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</si>
  <si>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</si>
  <si>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</si>
  <si>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</si>
  <si>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</si>
  <si>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</si>
  <si>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</si>
  <si>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</si>
  <si>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</si>
  <si>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</si>
  <si>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</si>
  <si>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</si>
  <si>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</si>
  <si>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</si>
  <si>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</si>
  <si>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</si>
  <si>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</si>
  <si>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</si>
  <si>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</si>
  <si>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</si>
  <si>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</si>
  <si>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</si>
  <si>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</si>
  <si>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</si>
  <si>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</si>
  <si>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</si>
  <si>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</si>
  <si>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</si>
  <si>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</si>
  <si>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</si>
  <si>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</si>
  <si>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</si>
  <si>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</si>
  <si>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</si>
  <si>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</si>
  <si>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</si>
  <si>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</si>
  <si>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</si>
  <si>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</si>
  <si>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</si>
  <si>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</si>
  <si>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</si>
  <si>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</si>
  <si>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</si>
  <si>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</si>
  <si>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</si>
  <si>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</si>
  <si>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</si>
  <si>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</si>
  <si>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</si>
  <si>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</si>
  <si>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</si>
  <si>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</si>
  <si>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</si>
  <si>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</si>
  <si>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</si>
  <si>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</si>
  <si>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</si>
  <si>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</si>
  <si>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</si>
  <si>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</si>
  <si>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</si>
  <si>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</si>
  <si>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</si>
  <si>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</si>
  <si>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</si>
  <si>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</si>
  <si>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</si>
  <si>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</si>
  <si>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</si>
  <si>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</si>
  <si>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</si>
  <si>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</si>
  <si>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</si>
  <si>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</si>
  <si>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</si>
  <si>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</si>
  <si>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</si>
  <si>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</si>
  <si>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</si>
  <si>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</si>
  <si>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</si>
  <si>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</si>
  <si>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</si>
  <si>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</si>
  <si>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</si>
  <si>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</si>
  <si>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</si>
  <si>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</si>
  <si>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</si>
  <si>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</si>
  <si>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</si>
  <si>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</si>
  <si>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</si>
  <si>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</si>
  <si>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</si>
  <si>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</si>
  <si>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</si>
  <si>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</si>
  <si>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</si>
  <si>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</si>
  <si>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</si>
  <si>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</si>
  <si>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</si>
  <si>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</si>
  <si>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</si>
  <si>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</si>
  <si>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</si>
  <si>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</si>
  <si>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</si>
  <si>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</si>
  <si>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</si>
  <si>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</si>
  <si>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</si>
  <si>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</si>
  <si>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</si>
  <si>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</si>
  <si>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</si>
  <si>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</si>
  <si>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</si>
  <si>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</si>
  <si>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</si>
  <si>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</si>
  <si>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</si>
  <si>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</si>
  <si>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</si>
  <si>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</si>
  <si>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</si>
  <si>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</si>
  <si>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</si>
  <si>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</si>
  <si>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</si>
  <si>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</si>
  <si>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</si>
  <si>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</si>
  <si>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</si>
  <si>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</si>
  <si>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</si>
  <si>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</si>
  <si>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</si>
  <si>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</si>
  <si>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</si>
  <si>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</si>
  <si>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</si>
  <si>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</si>
  <si>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</si>
  <si>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</si>
  <si>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</si>
  <si>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</si>
  <si>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</si>
  <si>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</si>
  <si>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</si>
  <si>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</si>
  <si>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</si>
  <si>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</si>
  <si>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</si>
  <si>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</si>
  <si>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</si>
  <si>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</si>
  <si>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</si>
  <si>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</si>
  <si>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</si>
  <si>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</si>
  <si>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</si>
  <si>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</si>
  <si>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</si>
  <si>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</si>
  <si>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</si>
  <si>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</si>
  <si>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</si>
  <si>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</si>
  <si>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</si>
  <si>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</si>
  <si>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</si>
  <si>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</si>
  <si>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</si>
  <si>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</si>
  <si>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</si>
  <si>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</si>
  <si>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</si>
  <si>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</si>
  <si>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</si>
  <si>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</si>
  <si>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</si>
  <si>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</si>
  <si>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</si>
  <si>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</si>
  <si>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</si>
  <si>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Byggemodninger</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</si>
  <si>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</si>
  <si>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Udvikling af nye rensemetoder og DMS handlingsplan</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</si>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</sst>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10" fontId="8" fillId="0" borderId="10" xfId="4" applyNumberFormat="1" applyFont="1" applyFill="1" applyBorder="1" applyAlignment="1" applyProtection="1">
      <alignmen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4bGYyr1p4BHHxidNlRmKEesAWhrasnG7zdJEBu/hOr5EVLYWCDQJA2sTYnx5KRh8aQlJH0AFYQ53ObBf87ZO4g==" saltValue="Fc3K3mJQSzTuoubbk/kqy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1" t="s">
        <v>30</v>
      </c>
      <c r="C9" s="11" t="s">
        <v>212</v>
      </c>
      <c r="D9" s="11"/>
      <c r="E9" s="1"/>
      <c r="F9" s="1"/>
    </row>
    <row r="10" spans="1:6" x14ac:dyDescent="0.25">
      <c r="A10" s="1"/>
      <c r="B10" s="75" t="s">
        <v>231</v>
      </c>
      <c r="C10" s="9">
        <v>23370783</v>
      </c>
      <c r="D10" s="14" t="s">
        <v>3</v>
      </c>
      <c r="E10" s="1"/>
      <c r="F10" s="1"/>
    </row>
    <row r="11" spans="1:6" x14ac:dyDescent="0.25">
      <c r="A11" s="1"/>
      <c r="B11" s="75" t="s">
        <v>232</v>
      </c>
      <c r="C11" s="9">
        <v>154152</v>
      </c>
      <c r="D11" s="14" t="s">
        <v>3</v>
      </c>
      <c r="E11" s="1"/>
      <c r="F11" s="1"/>
    </row>
    <row r="12" spans="1:6" ht="26.25" x14ac:dyDescent="0.25">
      <c r="A12" s="1"/>
      <c r="B12" s="80" t="s">
        <v>233</v>
      </c>
      <c r="C12" s="9">
        <v>2894749</v>
      </c>
      <c r="D12" s="14" t="s">
        <v>3</v>
      </c>
      <c r="E12" s="1"/>
      <c r="F12" s="1"/>
    </row>
    <row r="13" spans="1:6" x14ac:dyDescent="0.25">
      <c r="A13" s="1"/>
      <c r="B13" s="75" t="s">
        <v>234</v>
      </c>
      <c r="C13" s="9">
        <v>253399</v>
      </c>
      <c r="D13" s="14" t="s">
        <v>3</v>
      </c>
      <c r="E13" s="1"/>
      <c r="F13" s="1"/>
    </row>
    <row r="14" spans="1:6" x14ac:dyDescent="0.25">
      <c r="A14" s="1"/>
      <c r="B14" s="75" t="s">
        <v>235</v>
      </c>
      <c r="C14" s="9">
        <v>1017743</v>
      </c>
      <c r="D14" s="14" t="s">
        <v>3</v>
      </c>
      <c r="E14" s="1"/>
      <c r="F14" s="1"/>
    </row>
    <row r="15" spans="1:6" x14ac:dyDescent="0.25">
      <c r="A15" s="1"/>
      <c r="B15" s="63" t="s">
        <v>182</v>
      </c>
      <c r="C15" s="12">
        <f>SUM(C10:C14)</f>
        <v>27690826</v>
      </c>
      <c r="D15" s="13" t="s">
        <v>3</v>
      </c>
      <c r="E15" s="1"/>
      <c r="F15" s="1"/>
    </row>
    <row r="16" spans="1:6" x14ac:dyDescent="0.25">
      <c r="A16" s="1"/>
      <c r="B16" s="63" t="s">
        <v>183</v>
      </c>
      <c r="C16" s="12">
        <f>C15*(1+'Fane 13. Nøgletal'!C15)^2</f>
        <v>29697507.056439362</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2uJiLuM7JQOcgtheKBTU8HDq81WkgNfIEJbtdtoJaqZfkh0dqP7/PjmCUVVxlWlLmgM62IbO8JlQI0+DXiaLeQ==" saltValue="hAmkoCBrelAoCYMI3UveB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-2141254</v>
      </c>
      <c r="F9" s="14" t="s">
        <v>3</v>
      </c>
      <c r="G9" s="1"/>
    </row>
    <row r="10" spans="1:7" x14ac:dyDescent="0.25">
      <c r="A10" s="1"/>
      <c r="B10" s="140" t="s">
        <v>236</v>
      </c>
      <c r="C10" s="141"/>
      <c r="D10" s="142"/>
      <c r="E10" s="9">
        <v>-2141254</v>
      </c>
      <c r="F10" s="49" t="s">
        <v>3</v>
      </c>
      <c r="G10" s="1"/>
    </row>
    <row r="11" spans="1:7" x14ac:dyDescent="0.25">
      <c r="A11" s="1"/>
      <c r="B11" s="125" t="s">
        <v>185</v>
      </c>
      <c r="C11" s="126"/>
      <c r="D11" s="127"/>
      <c r="E11" s="9">
        <v>326300.19147993624</v>
      </c>
      <c r="F11" s="14" t="s">
        <v>3</v>
      </c>
      <c r="G11" s="1"/>
    </row>
    <row r="12" spans="1:7" x14ac:dyDescent="0.25">
      <c r="A12" s="1"/>
      <c r="B12" s="63"/>
      <c r="C12" s="64"/>
      <c r="D12" s="64"/>
      <c r="E12" s="64"/>
      <c r="F12" s="19"/>
      <c r="G12" s="1"/>
    </row>
    <row r="13" spans="1:7" ht="64.900000000000006" customHeight="1" x14ac:dyDescent="0.25">
      <c r="A13" s="1"/>
      <c r="B13" s="111" t="s">
        <v>252</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237</v>
      </c>
      <c r="C16" s="126"/>
      <c r="D16" s="127"/>
      <c r="E16" s="9">
        <v>0</v>
      </c>
      <c r="F16" s="14" t="s">
        <v>3</v>
      </c>
      <c r="G16" s="1"/>
    </row>
    <row r="17" spans="1:7" x14ac:dyDescent="0.25">
      <c r="A17" s="1"/>
      <c r="B17" s="125" t="s">
        <v>238</v>
      </c>
      <c r="C17" s="126"/>
      <c r="D17" s="127"/>
      <c r="E17" s="9">
        <v>0</v>
      </c>
      <c r="F17" s="14" t="s">
        <v>3</v>
      </c>
      <c r="G17" s="1"/>
    </row>
    <row r="18" spans="1:7" x14ac:dyDescent="0.25">
      <c r="A18" s="1"/>
      <c r="B18" s="63"/>
      <c r="C18" s="64"/>
      <c r="D18" s="64"/>
      <c r="E18" s="64"/>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239</v>
      </c>
      <c r="C22" s="73"/>
      <c r="D22" s="74"/>
      <c r="E22" s="9">
        <v>57092060.48577638</v>
      </c>
      <c r="F22" s="14" t="s">
        <v>3</v>
      </c>
      <c r="G22" s="1"/>
    </row>
    <row r="23" spans="1:7" x14ac:dyDescent="0.25">
      <c r="A23" s="1"/>
      <c r="B23" s="72" t="s">
        <v>187</v>
      </c>
      <c r="C23" s="73"/>
      <c r="D23" s="74"/>
      <c r="E23" s="9">
        <v>57847311</v>
      </c>
      <c r="F23" s="14" t="s">
        <v>3</v>
      </c>
      <c r="G23" s="1"/>
    </row>
    <row r="24" spans="1:7" x14ac:dyDescent="0.25">
      <c r="A24" s="1"/>
      <c r="B24" s="72" t="s">
        <v>31</v>
      </c>
      <c r="C24" s="73"/>
      <c r="D24" s="74"/>
      <c r="E24" s="9">
        <v>0</v>
      </c>
      <c r="F24" s="14" t="s">
        <v>3</v>
      </c>
      <c r="G24" s="1"/>
    </row>
    <row r="25" spans="1:7" x14ac:dyDescent="0.25">
      <c r="A25" s="1"/>
      <c r="B25" s="46" t="s">
        <v>254</v>
      </c>
      <c r="C25" s="47"/>
      <c r="D25" s="48"/>
      <c r="E25" s="52">
        <f>E22-(E23-E24)</f>
        <v>-755250.5142236203</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22" t="s">
        <v>240</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-755250.5142236203</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-377625.25711181015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0"/>
      <c r="C38" s="50"/>
      <c r="D38" s="50"/>
      <c r="E38" s="50"/>
      <c r="F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sheetData>
  <sheetProtection algorithmName="SHA-512" hashValue="fZ/J9nWMfZ8wIgMjbU9ku6AkcdeBDD4BQoFhZrXkMqHD4f717KZwmZWW4RJ91Ug2eEVcywdTx0rZytolJQcKoA==" saltValue="ENzG9uQE4cPhyT0gpjjPKw=="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5" customWidth="1"/>
    <col min="2" max="2" width="22.5703125" style="35" customWidth="1"/>
    <col min="3" max="3" width="8.28515625" style="35" customWidth="1"/>
    <col min="4" max="6" width="10.7109375" style="35" customWidth="1"/>
    <col min="7" max="7" width="11" style="35" customWidth="1"/>
    <col min="8" max="8" width="3.28515625" style="35" customWidth="1"/>
    <col min="9" max="9" width="4.85546875" style="35" customWidth="1"/>
    <col min="10" max="16384" width="9" style="3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243</v>
      </c>
      <c r="C10" s="147"/>
      <c r="D10" s="147"/>
      <c r="E10" s="147"/>
      <c r="F10" s="148"/>
      <c r="G10" s="51">
        <v>0</v>
      </c>
      <c r="H10" s="9" t="s">
        <v>3</v>
      </c>
      <c r="I10" s="1"/>
    </row>
    <row r="11" spans="1:9" x14ac:dyDescent="0.25">
      <c r="A11" s="1"/>
      <c r="B11" s="146" t="s">
        <v>244</v>
      </c>
      <c r="C11" s="147"/>
      <c r="D11" s="147"/>
      <c r="E11" s="147"/>
      <c r="F11" s="148"/>
      <c r="G11" s="51">
        <v>0</v>
      </c>
      <c r="H11" s="9" t="s">
        <v>3</v>
      </c>
      <c r="I11" s="1"/>
    </row>
    <row r="12" spans="1:9" x14ac:dyDescent="0.25">
      <c r="A12" s="1"/>
      <c r="B12" s="146" t="s">
        <v>245</v>
      </c>
      <c r="C12" s="147"/>
      <c r="D12" s="147"/>
      <c r="E12" s="147"/>
      <c r="F12" s="148"/>
      <c r="G12" s="9">
        <v>0</v>
      </c>
      <c r="H12" s="9" t="s">
        <v>3</v>
      </c>
      <c r="I12" s="1"/>
    </row>
    <row r="13" spans="1:9" x14ac:dyDescent="0.25">
      <c r="A13" s="1"/>
      <c r="B13" s="146" t="s">
        <v>246</v>
      </c>
      <c r="C13" s="147"/>
      <c r="D13" s="147"/>
      <c r="E13" s="147"/>
      <c r="F13" s="148"/>
      <c r="G13" s="9">
        <v>0</v>
      </c>
      <c r="H13" s="9" t="s">
        <v>3</v>
      </c>
      <c r="I13" s="1"/>
    </row>
    <row r="14" spans="1:9" x14ac:dyDescent="0.25">
      <c r="A14" s="1"/>
      <c r="B14" s="146" t="s">
        <v>247</v>
      </c>
      <c r="C14" s="147"/>
      <c r="D14" s="147"/>
      <c r="E14" s="147"/>
      <c r="F14" s="148"/>
      <c r="G14" s="9">
        <v>0</v>
      </c>
      <c r="H14" s="9" t="s">
        <v>3</v>
      </c>
      <c r="I14" s="1"/>
    </row>
    <row r="15" spans="1:9" x14ac:dyDescent="0.25">
      <c r="A15" s="1"/>
      <c r="B15" s="146" t="s">
        <v>248</v>
      </c>
      <c r="C15" s="147"/>
      <c r="D15" s="147"/>
      <c r="E15" s="147"/>
      <c r="F15" s="148"/>
      <c r="G15" s="9">
        <v>0</v>
      </c>
      <c r="H15" s="9" t="s">
        <v>3</v>
      </c>
      <c r="I15" s="1"/>
    </row>
    <row r="16" spans="1:9" x14ac:dyDescent="0.25">
      <c r="A16" s="1"/>
      <c r="B16" s="146" t="s">
        <v>249</v>
      </c>
      <c r="C16" s="147"/>
      <c r="D16" s="147"/>
      <c r="E16" s="147"/>
      <c r="F16" s="148"/>
      <c r="G16" s="9">
        <v>0</v>
      </c>
      <c r="H16" s="9" t="s">
        <v>3</v>
      </c>
      <c r="I16" s="1"/>
    </row>
    <row r="17" spans="1:9" x14ac:dyDescent="0.25">
      <c r="A17" s="1"/>
      <c r="B17" s="146" t="s">
        <v>250</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oTQfM1DE2qOShes4P0jAbOnRfxqEc588gd6yBtGnZyMyE3H0CRYcFYCCeYpAyKPFgiA9CSCRLB8llNRHsGw5QA==" saltValue="ZBWTwG31wDfvPjHtFvYFN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7" t="s">
        <v>230</v>
      </c>
      <c r="C10" s="28">
        <v>0</v>
      </c>
      <c r="D10" s="9">
        <v>0</v>
      </c>
      <c r="E10" s="14" t="s">
        <v>3</v>
      </c>
      <c r="F10" s="34">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atu5LofzXvn/mYiqDdLfzEYm54M/GaTCHnCVMPmT2xo3/jZpVQd+nHg2wUr1+pjz6iolO1DoNAIDNwtp7ZyRjA==" saltValue="+l35gLlOKRawKBH8jhS8Q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8"/>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ht="26.25" x14ac:dyDescent="0.25">
      <c r="A11" s="1"/>
      <c r="B11" s="77" t="s">
        <v>253</v>
      </c>
      <c r="C11" s="21">
        <v>887224</v>
      </c>
      <c r="D11" s="14" t="s">
        <v>3</v>
      </c>
      <c r="E11" s="9">
        <v>0</v>
      </c>
      <c r="F11" s="14" t="s">
        <v>3</v>
      </c>
      <c r="G11" s="1"/>
    </row>
    <row r="12" spans="1:7" x14ac:dyDescent="0.25">
      <c r="A12" s="1"/>
      <c r="B12" s="26" t="s">
        <v>251</v>
      </c>
      <c r="C12" s="21">
        <v>32386</v>
      </c>
      <c r="D12" s="14" t="s">
        <v>3</v>
      </c>
      <c r="E12" s="9">
        <f>11497+12848</f>
        <v>24345</v>
      </c>
      <c r="F12" s="14" t="s">
        <v>3</v>
      </c>
      <c r="G12" s="1"/>
    </row>
    <row r="13" spans="1:7" x14ac:dyDescent="0.25">
      <c r="A13" s="1"/>
      <c r="B13" s="63" t="s">
        <v>148</v>
      </c>
      <c r="C13" s="12">
        <f>SUM(C10:C12)</f>
        <v>919610</v>
      </c>
      <c r="D13" s="13" t="s">
        <v>3</v>
      </c>
      <c r="E13" s="12">
        <f>SUM(E10:E12)</f>
        <v>24345</v>
      </c>
      <c r="F13" s="13" t="s">
        <v>3</v>
      </c>
      <c r="G13" s="1"/>
    </row>
    <row r="14" spans="1:7" x14ac:dyDescent="0.25">
      <c r="A14" s="1"/>
      <c r="B14" s="63" t="s">
        <v>188</v>
      </c>
      <c r="C14" s="12">
        <f>C13*(1+'Fane 13. Nøgletal'!C15)</f>
        <v>952348.11600000004</v>
      </c>
      <c r="D14" s="13" t="s">
        <v>3</v>
      </c>
      <c r="E14" s="12">
        <f>E13*(1+'Fane 13. Nøgletal'!C15)</f>
        <v>25211.682000000001</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ryRPWKKJnFOXyDNyJqWLHvH53ZVKNirJ/8bW+y0e2DPMVEWQ4MQKRNJiCbwD168FXeoeipInqe5NBivl6mfsQ==" saltValue="pQASC3JxMEuPq2y3EjSAE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1" t="s">
        <v>15</v>
      </c>
      <c r="C10" s="61" t="s">
        <v>10</v>
      </c>
      <c r="D10" s="62"/>
      <c r="E10" s="61" t="s">
        <v>29</v>
      </c>
      <c r="F10" s="66"/>
      <c r="G10" s="1"/>
    </row>
    <row r="11" spans="1:7" x14ac:dyDescent="0.25">
      <c r="A11" s="1"/>
      <c r="B11" s="22" t="s">
        <v>255</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7nar22VmytW/JzrRXu2CMwQ7JXbFQrE3P788NbTc/qx8eIXiPCRZwuguYUT0gKlJ6Z0X/BIOLghvVjJsZEzq+A==" saltValue="9H/MMIitGyuJ/v0eZKcCQ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5" t="s">
        <v>113</v>
      </c>
      <c r="C9" s="117" t="s">
        <v>10</v>
      </c>
      <c r="D9" s="119"/>
      <c r="E9" s="117" t="s">
        <v>29</v>
      </c>
      <c r="F9" s="119"/>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cGlvPThmwZ74z5NmC459PKWOStnQwGRwYB2Yo8fHRM0lIGGNrzS2ZBWnRo90WGG2cLijNiNa3qIf0QAL+2GTQ==" saltValue="uEk1Pc9ZNxCYCJ3GsaQCz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5" t="s">
        <v>16</v>
      </c>
      <c r="C11" s="65" t="s">
        <v>10</v>
      </c>
      <c r="D11" s="66"/>
      <c r="E11" s="65" t="s">
        <v>29</v>
      </c>
      <c r="F11" s="66"/>
      <c r="G11" s="1"/>
    </row>
    <row r="12" spans="1:7" x14ac:dyDescent="0.25">
      <c r="A12" s="1"/>
      <c r="B12" s="22" t="s">
        <v>242</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e2tncUeEbCznGhq6CRmSjddXgu8TORLTxBeJAEilVJHqQDjUKV2GSZhuxO1unqyycLe29xIt5M/FuHagWF6NUg==" saltValue="5Qe7CWO0x2542cti+RKkZ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4" customWidth="1"/>
    <col min="4" max="4" width="9" style="2" customWidth="1"/>
    <col min="5" max="16384" width="9" style="2"/>
  </cols>
  <sheetData>
    <row r="1" spans="1:4" x14ac:dyDescent="0.25">
      <c r="A1" s="1"/>
      <c r="B1" s="1"/>
      <c r="C1" s="39"/>
      <c r="D1" s="1"/>
    </row>
    <row r="2" spans="1:4" x14ac:dyDescent="0.25">
      <c r="A2" s="1"/>
      <c r="B2" s="1"/>
      <c r="C2" s="39"/>
      <c r="D2" s="1"/>
    </row>
    <row r="3" spans="1:4" ht="15" customHeight="1" x14ac:dyDescent="0.25">
      <c r="A3" s="1"/>
      <c r="B3" s="107" t="s">
        <v>225</v>
      </c>
      <c r="C3" s="107"/>
      <c r="D3" s="1"/>
    </row>
    <row r="4" spans="1:4" ht="25.5" customHeight="1" x14ac:dyDescent="0.25">
      <c r="A4" s="1"/>
      <c r="B4" s="107"/>
      <c r="C4" s="107"/>
      <c r="D4" s="1"/>
    </row>
    <row r="5" spans="1:4" x14ac:dyDescent="0.25">
      <c r="A5" s="1"/>
      <c r="B5" s="1"/>
      <c r="C5" s="39"/>
      <c r="D5" s="1"/>
    </row>
    <row r="6" spans="1:4" x14ac:dyDescent="0.25">
      <c r="A6" s="1"/>
      <c r="B6" s="1"/>
      <c r="C6" s="39"/>
      <c r="D6" s="1"/>
    </row>
    <row r="7" spans="1:4" x14ac:dyDescent="0.25">
      <c r="A7" s="1"/>
      <c r="B7" s="1"/>
      <c r="C7" s="39"/>
      <c r="D7" s="1"/>
    </row>
    <row r="8" spans="1:4" x14ac:dyDescent="0.25">
      <c r="A8" s="1"/>
      <c r="B8" s="63" t="s">
        <v>13</v>
      </c>
      <c r="C8" s="40"/>
      <c r="D8" s="1"/>
    </row>
    <row r="9" spans="1:4" x14ac:dyDescent="0.25">
      <c r="A9" s="1"/>
      <c r="B9" s="75" t="s">
        <v>101</v>
      </c>
      <c r="C9" s="41">
        <v>1.2699999999999999E-2</v>
      </c>
      <c r="D9" s="1"/>
    </row>
    <row r="10" spans="1:4" x14ac:dyDescent="0.25">
      <c r="A10" s="1"/>
      <c r="B10" s="75" t="s">
        <v>21</v>
      </c>
      <c r="C10" s="41">
        <v>1.7500000000000002E-2</v>
      </c>
      <c r="D10" s="1"/>
    </row>
    <row r="11" spans="1:4" x14ac:dyDescent="0.25">
      <c r="A11" s="1"/>
      <c r="B11" s="75" t="s">
        <v>102</v>
      </c>
      <c r="C11" s="41">
        <v>1.6899999999999998E-2</v>
      </c>
      <c r="D11" s="1"/>
    </row>
    <row r="12" spans="1:4" x14ac:dyDescent="0.25">
      <c r="A12" s="1"/>
      <c r="B12" s="24" t="s">
        <v>37</v>
      </c>
      <c r="C12" s="42">
        <v>1.9699999999999999E-2</v>
      </c>
      <c r="D12" s="1"/>
    </row>
    <row r="13" spans="1:4" x14ac:dyDescent="0.25">
      <c r="A13" s="1"/>
      <c r="B13" s="24" t="s">
        <v>118</v>
      </c>
      <c r="C13" s="42">
        <v>1.2200000000000001E-2</v>
      </c>
      <c r="D13" s="1"/>
    </row>
    <row r="14" spans="1:4" x14ac:dyDescent="0.25">
      <c r="A14" s="1"/>
      <c r="B14" s="24" t="s">
        <v>150</v>
      </c>
      <c r="C14" s="43">
        <v>3.3E-3</v>
      </c>
      <c r="D14" s="1"/>
    </row>
    <row r="15" spans="1:4" x14ac:dyDescent="0.25">
      <c r="A15" s="1"/>
      <c r="B15" s="24" t="s">
        <v>190</v>
      </c>
      <c r="C15" s="43">
        <v>3.56E-2</v>
      </c>
      <c r="D15" s="1"/>
    </row>
    <row r="16" spans="1:4" x14ac:dyDescent="0.25">
      <c r="A16" s="1"/>
      <c r="B16" s="122"/>
      <c r="C16" s="124"/>
      <c r="D16" s="1"/>
    </row>
    <row r="17" spans="1:4" x14ac:dyDescent="0.25">
      <c r="A17" s="1"/>
      <c r="B17" s="1"/>
      <c r="C17" s="39"/>
      <c r="D17" s="1"/>
    </row>
    <row r="18" spans="1:4" x14ac:dyDescent="0.25">
      <c r="A18" s="1"/>
      <c r="B18" s="1"/>
      <c r="C18" s="39"/>
      <c r="D18" s="1"/>
    </row>
    <row r="19" spans="1:4" x14ac:dyDescent="0.25">
      <c r="A19" s="1"/>
      <c r="B19" s="63" t="s">
        <v>89</v>
      </c>
      <c r="C19" s="40"/>
      <c r="D19" s="1"/>
    </row>
    <row r="20" spans="1:4" x14ac:dyDescent="0.25">
      <c r="A20" s="1"/>
      <c r="B20" s="75" t="s">
        <v>103</v>
      </c>
      <c r="C20" s="43">
        <v>9.1000000000000004E-3</v>
      </c>
      <c r="D20" s="1"/>
    </row>
    <row r="21" spans="1:4" x14ac:dyDescent="0.25">
      <c r="A21" s="1"/>
      <c r="B21" s="75" t="s">
        <v>104</v>
      </c>
      <c r="C21" s="43">
        <v>1.77E-2</v>
      </c>
      <c r="D21" s="1"/>
    </row>
    <row r="22" spans="1:4" x14ac:dyDescent="0.25">
      <c r="A22" s="1"/>
      <c r="B22" s="75" t="s">
        <v>105</v>
      </c>
      <c r="C22" s="43">
        <v>8.6999999999999994E-3</v>
      </c>
      <c r="D22" s="1"/>
    </row>
    <row r="23" spans="1:4" x14ac:dyDescent="0.25">
      <c r="A23" s="1"/>
      <c r="B23" s="75" t="s">
        <v>106</v>
      </c>
      <c r="C23" s="43">
        <v>2.8399999999999998E-2</v>
      </c>
      <c r="D23" s="1"/>
    </row>
    <row r="24" spans="1:4" x14ac:dyDescent="0.25">
      <c r="A24" s="1"/>
      <c r="B24" s="75" t="s">
        <v>120</v>
      </c>
      <c r="C24" s="43">
        <v>2.75E-2</v>
      </c>
      <c r="D24" s="1"/>
    </row>
    <row r="25" spans="1:4" x14ac:dyDescent="0.25">
      <c r="A25" s="1"/>
      <c r="B25" s="75" t="s">
        <v>151</v>
      </c>
      <c r="C25" s="43">
        <v>1.4800000000000001E-2</v>
      </c>
      <c r="D25" s="1"/>
    </row>
    <row r="26" spans="1:4" x14ac:dyDescent="0.25">
      <c r="A26" s="1"/>
      <c r="B26" s="24" t="s">
        <v>191</v>
      </c>
      <c r="C26" s="43">
        <v>0</v>
      </c>
      <c r="D26" s="1"/>
    </row>
    <row r="27" spans="1:4" x14ac:dyDescent="0.25">
      <c r="A27" s="1"/>
      <c r="B27" s="63"/>
      <c r="C27" s="40"/>
      <c r="D27" s="1"/>
    </row>
    <row r="28" spans="1:4" x14ac:dyDescent="0.25">
      <c r="A28" s="1"/>
      <c r="B28" s="1"/>
      <c r="C28" s="39"/>
      <c r="D28" s="1"/>
    </row>
    <row r="29" spans="1:4" x14ac:dyDescent="0.25">
      <c r="A29" s="1"/>
      <c r="B29" s="1"/>
      <c r="C29" s="39"/>
      <c r="D29" s="1"/>
    </row>
    <row r="30" spans="1:4" x14ac:dyDescent="0.25">
      <c r="A30" s="1"/>
      <c r="B30" s="63" t="s">
        <v>90</v>
      </c>
      <c r="C30" s="40"/>
      <c r="D30" s="1"/>
    </row>
    <row r="31" spans="1:4" x14ac:dyDescent="0.25">
      <c r="A31" s="1"/>
      <c r="B31" s="75" t="s">
        <v>107</v>
      </c>
      <c r="C31" s="41">
        <v>0.02</v>
      </c>
      <c r="D31" s="1"/>
    </row>
    <row r="32" spans="1:4" x14ac:dyDescent="0.25">
      <c r="A32" s="1"/>
      <c r="B32" s="63"/>
      <c r="C32" s="40"/>
      <c r="D32" s="1"/>
    </row>
    <row r="33" spans="1:4" x14ac:dyDescent="0.25">
      <c r="A33" s="1"/>
      <c r="B33" s="1"/>
      <c r="C33" s="39"/>
      <c r="D33" s="1"/>
    </row>
    <row r="34" spans="1:4" x14ac:dyDescent="0.25">
      <c r="A34" s="1"/>
      <c r="B34" s="1"/>
      <c r="C34" s="39"/>
      <c r="D34" s="1"/>
    </row>
    <row r="35" spans="1:4" x14ac:dyDescent="0.25">
      <c r="A35" s="1"/>
      <c r="B35" s="1"/>
      <c r="C35" s="39"/>
      <c r="D35" s="1"/>
    </row>
    <row r="36" spans="1:4" x14ac:dyDescent="0.25">
      <c r="A36" s="1"/>
      <c r="B36" s="1"/>
      <c r="C36" s="39"/>
      <c r="D36" s="1"/>
    </row>
    <row r="37" spans="1:4" x14ac:dyDescent="0.25">
      <c r="A37" s="1"/>
      <c r="B37" s="1"/>
      <c r="C37" s="39"/>
      <c r="D37" s="1"/>
    </row>
    <row r="38" spans="1:4" x14ac:dyDescent="0.25">
      <c r="A38" s="1"/>
      <c r="B38" s="1"/>
      <c r="C38" s="39"/>
      <c r="D38" s="1"/>
    </row>
    <row r="39" spans="1:4" x14ac:dyDescent="0.25">
      <c r="A39" s="1"/>
      <c r="B39" s="1"/>
      <c r="C39" s="39"/>
      <c r="D39" s="1"/>
    </row>
    <row r="40" spans="1:4" x14ac:dyDescent="0.25">
      <c r="A40" s="1"/>
      <c r="B40" s="1"/>
      <c r="C40" s="39"/>
      <c r="D40" s="1"/>
    </row>
    <row r="41" spans="1:4" x14ac:dyDescent="0.25">
      <c r="A41" s="1"/>
      <c r="B41" s="1"/>
      <c r="C41" s="39"/>
      <c r="D41" s="1"/>
    </row>
    <row r="42" spans="1:4" x14ac:dyDescent="0.25">
      <c r="A42" s="1"/>
      <c r="B42" s="1"/>
      <c r="C42" s="39"/>
      <c r="D42" s="1"/>
    </row>
    <row r="43" spans="1:4" x14ac:dyDescent="0.25">
      <c r="A43" s="1"/>
      <c r="B43" s="1"/>
      <c r="C43" s="39"/>
      <c r="D43" s="1"/>
    </row>
    <row r="44" spans="1:4" x14ac:dyDescent="0.25">
      <c r="A44" s="1"/>
      <c r="B44" s="1"/>
      <c r="C44" s="39"/>
      <c r="D44" s="1"/>
    </row>
    <row r="45" spans="1:4" x14ac:dyDescent="0.25">
      <c r="A45" s="1"/>
      <c r="B45" s="1"/>
      <c r="C45" s="39"/>
      <c r="D45" s="1"/>
    </row>
    <row r="46" spans="1:4" x14ac:dyDescent="0.25">
      <c r="A46" s="1"/>
      <c r="B46" s="1"/>
      <c r="C46" s="39"/>
      <c r="D46" s="1"/>
    </row>
    <row r="47" spans="1:4" x14ac:dyDescent="0.25">
      <c r="A47" s="1"/>
      <c r="B47" s="1"/>
      <c r="C47" s="39"/>
      <c r="D47" s="1"/>
    </row>
    <row r="48" spans="1:4" x14ac:dyDescent="0.25">
      <c r="A48" s="1"/>
      <c r="B48" s="1"/>
      <c r="C48" s="39"/>
      <c r="D48" s="1"/>
    </row>
  </sheetData>
  <sheetProtection algorithmName="SHA-512" hashValue="RM+zzJmDKLjMa/63RlqW06qcWbNk8XGPTF0qWsTdfMI4txhUg+2P3hi1q2C13haAcr6dY0S0roIZacOBDnY0MQ==" saltValue="8bqSnZnmzqTtCYLpxIe1k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32492307.628332037</v>
      </c>
      <c r="D8" s="8" t="s">
        <v>3</v>
      </c>
      <c r="E8" s="1"/>
    </row>
    <row r="9" spans="1:5" ht="17.25" customHeight="1" x14ac:dyDescent="0.25">
      <c r="A9" s="1"/>
      <c r="B9" s="23" t="s">
        <v>35</v>
      </c>
      <c r="C9" s="7">
        <f>'Fane 10.1. Varige tillæg'!C14</f>
        <v>952348.11600000004</v>
      </c>
      <c r="D9" s="8" t="s">
        <v>3</v>
      </c>
      <c r="E9" s="1"/>
    </row>
    <row r="10" spans="1:5" ht="17.25" customHeight="1" x14ac:dyDescent="0.25">
      <c r="A10" s="1"/>
      <c r="B10" s="23" t="s">
        <v>36</v>
      </c>
      <c r="C10" s="9">
        <f>'Fane 10.1. Varige tillæg'!E14</f>
        <v>25211.682000000001</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1191527.2803774206</v>
      </c>
      <c r="D15" s="8" t="s">
        <v>3</v>
      </c>
      <c r="E15" s="1"/>
    </row>
    <row r="16" spans="1:5" ht="17.25" customHeight="1" x14ac:dyDescent="0.25">
      <c r="A16" s="1"/>
      <c r="B16" s="23" t="s">
        <v>9</v>
      </c>
      <c r="C16" s="9">
        <f>-SUM(C8,C9:C15)*'Fane 5. Individuelt eff. krav'!G9</f>
        <v>-385825.91431107454</v>
      </c>
      <c r="D16" s="8" t="s">
        <v>3</v>
      </c>
      <c r="E16" s="1"/>
    </row>
    <row r="17" spans="1:5" ht="17.25" customHeight="1" x14ac:dyDescent="0.25">
      <c r="A17" s="1"/>
      <c r="B17" s="23" t="s">
        <v>23</v>
      </c>
      <c r="C17" s="9">
        <f>-'Fane 4.1. Gen. krav - drift'!G43</f>
        <v>-388427.17657460686</v>
      </c>
      <c r="D17" s="8" t="s">
        <v>3</v>
      </c>
      <c r="E17" s="1"/>
    </row>
    <row r="18" spans="1:5" ht="17.25" customHeight="1" x14ac:dyDescent="0.25">
      <c r="A18" s="1"/>
      <c r="B18" s="23" t="s">
        <v>24</v>
      </c>
      <c r="C18" s="9">
        <f>-'Fane 4.2. Gen. krav - anlæg'!G43</f>
        <v>0</v>
      </c>
      <c r="D18" s="8" t="s">
        <v>3</v>
      </c>
      <c r="E18" s="1"/>
    </row>
    <row r="19" spans="1:5" ht="17.25" customHeight="1" x14ac:dyDescent="0.25">
      <c r="A19" s="1"/>
      <c r="B19" s="46" t="s">
        <v>19</v>
      </c>
      <c r="C19" s="10">
        <f>SUM(C8,C9:C18)</f>
        <v>33887141.615823776</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omk.'!C16</f>
        <v>29697507.056439362</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6" t="s">
        <v>81</v>
      </c>
      <c r="C27" s="45">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-377625.25711181015</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3">
        <f>SUM(C19,C21,C27,C29,C31)</f>
        <v>63207023.415151328</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vRHWXDZjCN51cNrRyqbbAUWfOX7rEXZWiZyQRoJ50w3YEaQcogu4izxSgv2szTSy1n9aejm65ME98Pd+i86GA==" saltValue="6BdypPu8+x02PAbi/QOPg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33887141.615823776</v>
      </c>
      <c r="D8" s="8" t="s">
        <v>3</v>
      </c>
      <c r="E8" s="1"/>
    </row>
    <row r="9" spans="1:5" ht="15" customHeight="1" x14ac:dyDescent="0.25">
      <c r="A9" s="1"/>
      <c r="B9" s="60" t="s">
        <v>17</v>
      </c>
      <c r="C9" s="9">
        <f>SUM(C8:C8)*'Fane 13. Nøgletal'!C15</f>
        <v>1206382.2415233264</v>
      </c>
      <c r="D9" s="8" t="s">
        <v>3</v>
      </c>
      <c r="E9" s="1"/>
    </row>
    <row r="10" spans="1:5" ht="15" customHeight="1" x14ac:dyDescent="0.25">
      <c r="A10" s="1"/>
      <c r="B10" s="60" t="s">
        <v>9</v>
      </c>
      <c r="C10" s="9">
        <f>-SUM(C8:C9)*'Fane 5. Individuelt eff. krav'!G9</f>
        <v>-390636.06768360926</v>
      </c>
      <c r="D10" s="8" t="s">
        <v>3</v>
      </c>
      <c r="E10" s="1"/>
    </row>
    <row r="11" spans="1:5" ht="15" customHeight="1" x14ac:dyDescent="0.25">
      <c r="A11" s="1"/>
      <c r="B11" s="60" t="s">
        <v>23</v>
      </c>
      <c r="C11" s="9">
        <f>-'Fane 4.1. Gen. krav - drift'!G48</f>
        <v>-394210.08037944959</v>
      </c>
      <c r="D11" s="8" t="s">
        <v>3</v>
      </c>
      <c r="E11" s="1"/>
    </row>
    <row r="12" spans="1:5" ht="15" customHeight="1" x14ac:dyDescent="0.25">
      <c r="A12" s="1"/>
      <c r="B12" s="60" t="s">
        <v>24</v>
      </c>
      <c r="C12" s="9">
        <f>-'Fane 4.2. Gen. krav - anlæg'!G48</f>
        <v>0</v>
      </c>
      <c r="D12" s="8" t="s">
        <v>3</v>
      </c>
      <c r="E12" s="1"/>
    </row>
    <row r="13" spans="1:5" ht="15" customHeight="1" x14ac:dyDescent="0.25">
      <c r="A13" s="1"/>
      <c r="B13" s="31" t="s">
        <v>19</v>
      </c>
      <c r="C13" s="10">
        <f>SUM(C8:C12)</f>
        <v>34308677.709284045</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f>
        <v>30754738.307648607</v>
      </c>
      <c r="D15" s="11" t="s">
        <v>3</v>
      </c>
      <c r="E15" s="1"/>
    </row>
    <row r="16" spans="1:5" x14ac:dyDescent="0.25">
      <c r="A16" s="1"/>
      <c r="B16" s="25" t="s">
        <v>128</v>
      </c>
      <c r="C16" s="64"/>
      <c r="D16" s="19"/>
      <c r="E16" s="1"/>
    </row>
    <row r="17" spans="1:5" ht="15" customHeight="1" x14ac:dyDescent="0.25">
      <c r="A17" s="1"/>
      <c r="B17" s="76" t="s">
        <v>129</v>
      </c>
      <c r="C17" s="10">
        <f>'Fane 7. Kontrol af ØR2021'!E31</f>
        <v>-377625.25711181015</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64685790.759820841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osNcUV6GEanshndbi/Z32cbP0Eesz+rhMll/3IfSjhCiwQk2q07hTmqitb4gBp8LCxFS3gzXuAfErZy8kgvvig==" saltValue="vEa1/AQcC8KtnhEGvx1xR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34308677.709284045</v>
      </c>
      <c r="D8" s="8" t="s">
        <v>3</v>
      </c>
      <c r="E8" s="1"/>
    </row>
    <row r="9" spans="1:5" ht="15" customHeight="1" x14ac:dyDescent="0.25">
      <c r="A9" s="1"/>
      <c r="B9" s="60" t="s">
        <v>17</v>
      </c>
      <c r="C9" s="9">
        <f>SUM(C8:C8)*'Fane 13. Nøgletal'!C15</f>
        <v>1221388.9264505119</v>
      </c>
      <c r="D9" s="8" t="s">
        <v>3</v>
      </c>
      <c r="E9" s="1"/>
    </row>
    <row r="10" spans="1:5" ht="15" customHeight="1" x14ac:dyDescent="0.25">
      <c r="A10" s="1"/>
      <c r="B10" s="60" t="s">
        <v>9</v>
      </c>
      <c r="C10" s="9">
        <f>-SUM(C8:C9)*'Fane 5. Individuelt eff. krav'!G9</f>
        <v>-395495.35041104764</v>
      </c>
      <c r="D10" s="8" t="s">
        <v>3</v>
      </c>
      <c r="E10" s="1"/>
    </row>
    <row r="11" spans="1:5" ht="15" customHeight="1" x14ac:dyDescent="0.25">
      <c r="A11" s="1"/>
      <c r="B11" s="60" t="s">
        <v>23</v>
      </c>
      <c r="C11" s="9">
        <f>-'Fane 4.1. Gen. krav - drift'!G53</f>
        <v>-400079.08005613886</v>
      </c>
      <c r="D11" s="8" t="s">
        <v>3</v>
      </c>
      <c r="E11" s="1"/>
    </row>
    <row r="12" spans="1:5" ht="15" customHeight="1" x14ac:dyDescent="0.25">
      <c r="A12" s="1"/>
      <c r="B12" s="60" t="s">
        <v>24</v>
      </c>
      <c r="C12" s="27">
        <f>-'Fane 4.2. Gen. krav - anlæg'!G53</f>
        <v>0</v>
      </c>
      <c r="D12" s="8" t="s">
        <v>3</v>
      </c>
      <c r="E12" s="1"/>
    </row>
    <row r="13" spans="1:5" x14ac:dyDescent="0.25">
      <c r="A13" s="1"/>
      <c r="B13" s="31" t="s">
        <v>19</v>
      </c>
      <c r="C13" s="10">
        <f>SUM(C8:C12)</f>
        <v>34734492.20526737</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Nøgletal'!C15)^2</f>
        <v>31849606.991400898</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66584099.196668267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NY5MaXoqwC8mZLr6CaD81BQs9EHUBWbiTZQFfHWpxXuHkog3t9q7s7mcCgXg7eLnXr3oEhOZa4nUT4MQyTBHSQ==" saltValue="dpHSQvUn0wL3LuQjglNzD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34734492.20526737</v>
      </c>
      <c r="D8" s="8" t="s">
        <v>3</v>
      </c>
      <c r="E8" s="1"/>
    </row>
    <row r="9" spans="1:5" ht="15" customHeight="1" x14ac:dyDescent="0.25">
      <c r="A9" s="1"/>
      <c r="B9" s="60" t="s">
        <v>17</v>
      </c>
      <c r="C9" s="9">
        <f>SUM(C8:C8)*'Fane 13. Nøgletal'!C15</f>
        <v>1236547.9225075184</v>
      </c>
      <c r="D9" s="8" t="s">
        <v>3</v>
      </c>
      <c r="E9" s="1"/>
    </row>
    <row r="10" spans="1:5" ht="15" customHeight="1" x14ac:dyDescent="0.25">
      <c r="A10" s="1"/>
      <c r="B10" s="60" t="s">
        <v>9</v>
      </c>
      <c r="C10" s="9">
        <f>-SUM(C8:C9)*'Fane 5. Individuelt eff. krav'!G9</f>
        <v>-400403.95268147136</v>
      </c>
      <c r="D10" s="8" t="s">
        <v>3</v>
      </c>
      <c r="E10" s="1"/>
    </row>
    <row r="11" spans="1:5" ht="15" customHeight="1" x14ac:dyDescent="0.25">
      <c r="A11" s="1"/>
      <c r="B11" s="60" t="s">
        <v>23</v>
      </c>
      <c r="C11" s="9">
        <f>-'Fane 4.1. Gen. krav - drift'!G58</f>
        <v>-406035.45740001468</v>
      </c>
      <c r="D11" s="8" t="s">
        <v>3</v>
      </c>
      <c r="E11" s="1"/>
    </row>
    <row r="12" spans="1:5" ht="15" customHeight="1" x14ac:dyDescent="0.25">
      <c r="A12" s="1"/>
      <c r="B12" s="60" t="s">
        <v>24</v>
      </c>
      <c r="C12" s="9">
        <f>-'Fane 4.2. Gen. krav - anlæg'!G58</f>
        <v>0</v>
      </c>
      <c r="D12" s="8" t="s">
        <v>3</v>
      </c>
      <c r="E12" s="1"/>
    </row>
    <row r="13" spans="1:5" x14ac:dyDescent="0.25">
      <c r="A13" s="1"/>
      <c r="B13" s="31" t="s">
        <v>19</v>
      </c>
      <c r="C13" s="10">
        <f>SUM(C8:C12)</f>
        <v>35164600.717693396</v>
      </c>
      <c r="D13" s="11" t="s">
        <v>3</v>
      </c>
      <c r="E13" s="1"/>
    </row>
    <row r="14" spans="1:5" x14ac:dyDescent="0.25">
      <c r="A14" s="1"/>
      <c r="B14" s="63" t="s">
        <v>11</v>
      </c>
      <c r="C14" s="64"/>
      <c r="D14" s="19"/>
      <c r="E14" s="1"/>
    </row>
    <row r="15" spans="1:5" ht="15" customHeight="1" x14ac:dyDescent="0.25">
      <c r="A15" s="1"/>
      <c r="B15" s="65" t="s">
        <v>11</v>
      </c>
      <c r="C15" s="10">
        <f>'Fane 6. Ikke-påvirkelige omk.'!C16*(1+'Fane 13. Nøgletal'!C15)^3</f>
        <v>32983453.000294771</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68148053.717988163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4aZXDdhcxxjAiRPqv67dAofsJv7A1UP0zgi/ll54ebiq9hw5eZahOmQ+YqASXtjIToXbgssBZNTXdDegk4/Q6g==" saltValue="IYabCYxL0VqD5HCswLpHt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08" t="s">
        <v>22</v>
      </c>
      <c r="C9" s="109"/>
      <c r="D9" s="110"/>
      <c r="E9" s="7">
        <v>32247301.770643998</v>
      </c>
      <c r="F9" s="8" t="s">
        <v>3</v>
      </c>
      <c r="G9" s="1"/>
    </row>
    <row r="10" spans="1:7" ht="15" customHeight="1" x14ac:dyDescent="0.25">
      <c r="A10" s="1"/>
      <c r="B10" s="101" t="s">
        <v>35</v>
      </c>
      <c r="C10" s="102"/>
      <c r="D10" s="103"/>
      <c r="E10" s="9">
        <v>664269.88050000009</v>
      </c>
      <c r="F10" s="8" t="s">
        <v>3</v>
      </c>
      <c r="G10" s="1"/>
    </row>
    <row r="11" spans="1:7" ht="15" customHeight="1" x14ac:dyDescent="0.25">
      <c r="A11" s="1"/>
      <c r="B11" s="101" t="s">
        <v>36</v>
      </c>
      <c r="C11" s="102"/>
      <c r="D11" s="103"/>
      <c r="E11" s="9">
        <v>236695.52610000002</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396390.26744363672</v>
      </c>
      <c r="F16" s="8" t="s">
        <v>3</v>
      </c>
      <c r="G16" s="29"/>
    </row>
    <row r="17" spans="1:7" x14ac:dyDescent="0.25">
      <c r="A17" s="1"/>
      <c r="B17" s="101" t="s">
        <v>9</v>
      </c>
      <c r="C17" s="102"/>
      <c r="D17" s="103"/>
      <c r="E17" s="9">
        <v>-215783.11091826559</v>
      </c>
      <c r="F17" s="8" t="s">
        <v>3</v>
      </c>
      <c r="G17" s="1"/>
    </row>
    <row r="18" spans="1:7" x14ac:dyDescent="0.25">
      <c r="A18" s="1"/>
      <c r="B18" s="101" t="s">
        <v>23</v>
      </c>
      <c r="C18" s="102"/>
      <c r="D18" s="103"/>
      <c r="E18" s="9">
        <v>-363293.42981295951</v>
      </c>
      <c r="F18" s="8" t="s">
        <v>3</v>
      </c>
      <c r="G18" s="1"/>
    </row>
    <row r="19" spans="1:7" x14ac:dyDescent="0.25">
      <c r="A19" s="1"/>
      <c r="B19" s="101" t="s">
        <v>24</v>
      </c>
      <c r="C19" s="102"/>
      <c r="D19" s="103"/>
      <c r="E19" s="9">
        <v>-473273.27562437049</v>
      </c>
      <c r="F19" s="8" t="s">
        <v>3</v>
      </c>
      <c r="G19" s="1"/>
    </row>
    <row r="20" spans="1:7" x14ac:dyDescent="0.25">
      <c r="A20" s="1"/>
      <c r="B20" s="114" t="s">
        <v>19</v>
      </c>
      <c r="C20" s="115"/>
      <c r="D20" s="116"/>
      <c r="E20" s="30">
        <f>SUM(E9:E19)</f>
        <v>32492307.628332037</v>
      </c>
      <c r="F20" s="32" t="s">
        <v>3</v>
      </c>
      <c r="G20" s="1"/>
    </row>
    <row r="21" spans="1:7" x14ac:dyDescent="0.25">
      <c r="A21" s="1"/>
      <c r="B21" s="63" t="s">
        <v>11</v>
      </c>
      <c r="C21" s="64"/>
      <c r="D21" s="64"/>
      <c r="E21" s="64"/>
      <c r="F21" s="19"/>
      <c r="G21" s="1"/>
    </row>
    <row r="22" spans="1:7" x14ac:dyDescent="0.25">
      <c r="A22" s="1"/>
      <c r="B22" s="104" t="s">
        <v>11</v>
      </c>
      <c r="C22" s="105"/>
      <c r="D22" s="106"/>
      <c r="E22" s="10">
        <v>25829948.493386794</v>
      </c>
      <c r="F22" s="11" t="s">
        <v>3</v>
      </c>
      <c r="G22" s="1"/>
    </row>
    <row r="23" spans="1:7" ht="15" customHeight="1" x14ac:dyDescent="0.25">
      <c r="A23" s="1"/>
      <c r="B23" s="120" t="s">
        <v>80</v>
      </c>
      <c r="C23" s="121"/>
      <c r="D23" s="121"/>
      <c r="E23" s="64"/>
      <c r="F23" s="64"/>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3" t="s">
        <v>128</v>
      </c>
      <c r="C27" s="64"/>
      <c r="D27" s="64"/>
      <c r="E27" s="64"/>
      <c r="F27" s="19"/>
      <c r="G27" s="1"/>
    </row>
    <row r="28" spans="1:7" ht="15" customHeight="1" x14ac:dyDescent="0.25">
      <c r="A28" s="1"/>
      <c r="B28" s="117" t="s">
        <v>129</v>
      </c>
      <c r="C28" s="118"/>
      <c r="D28" s="119"/>
      <c r="E28" s="10">
        <v>-2106101.1481325626</v>
      </c>
      <c r="F28" s="11" t="s">
        <v>3</v>
      </c>
      <c r="G28" s="1"/>
    </row>
    <row r="29" spans="1:7" x14ac:dyDescent="0.25">
      <c r="A29" s="1"/>
      <c r="B29" s="63" t="s">
        <v>159</v>
      </c>
      <c r="C29" s="64"/>
      <c r="D29" s="64"/>
      <c r="E29" s="64"/>
      <c r="F29" s="19"/>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56216154.973586269</v>
      </c>
      <c r="F33" s="13"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Iguw31gjOjf+L7Orh+Om+eyw11qOb4vKrFTnGg9nRkyiF2gC8Ymn5eOjbC55sHiUj3dPkrgBNvPjn7UvgBuPg==" saltValue="UwAS6JSFfAdWi9lPQESw1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8"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3">
        <v>18040173.84485437</v>
      </c>
      <c r="H5" s="14" t="s">
        <v>3</v>
      </c>
      <c r="I5" s="1"/>
    </row>
    <row r="6" spans="1:9" x14ac:dyDescent="0.25">
      <c r="A6" s="1"/>
      <c r="B6" s="125" t="s">
        <v>39</v>
      </c>
      <c r="C6" s="126"/>
      <c r="D6" s="126"/>
      <c r="E6" s="126"/>
      <c r="F6" s="127"/>
      <c r="G6" s="53">
        <f>G5*'Fane 13. Nøgletal'!C31</f>
        <v>360803.47689708741</v>
      </c>
      <c r="H6" s="14" t="s">
        <v>3</v>
      </c>
      <c r="I6" s="1"/>
    </row>
    <row r="7" spans="1:9" x14ac:dyDescent="0.25">
      <c r="A7" s="1"/>
      <c r="B7" s="63"/>
      <c r="C7" s="64"/>
      <c r="D7" s="64"/>
      <c r="E7" s="64"/>
      <c r="F7" s="64"/>
      <c r="G7" s="54"/>
      <c r="H7" s="19"/>
      <c r="I7" s="1"/>
    </row>
    <row r="8" spans="1:9" x14ac:dyDescent="0.25">
      <c r="A8" s="1"/>
      <c r="B8" s="1"/>
      <c r="C8" s="1"/>
      <c r="D8" s="1"/>
      <c r="E8" s="1"/>
      <c r="F8" s="1"/>
      <c r="G8" s="55"/>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3">
        <f>(G5-G6)*(1+'Fane 13. Nøgletal'!C9)</f>
        <v>17903898.371630341</v>
      </c>
      <c r="H10" s="14" t="s">
        <v>3</v>
      </c>
      <c r="I10" s="1"/>
    </row>
    <row r="11" spans="1:9" x14ac:dyDescent="0.25">
      <c r="A11" s="1"/>
      <c r="B11" s="129" t="s">
        <v>41</v>
      </c>
      <c r="C11" s="130"/>
      <c r="D11" s="130"/>
      <c r="E11" s="130"/>
      <c r="F11" s="131"/>
      <c r="G11" s="53">
        <v>0</v>
      </c>
      <c r="H11" s="14" t="s">
        <v>3</v>
      </c>
      <c r="I11" s="1"/>
    </row>
    <row r="12" spans="1:9" x14ac:dyDescent="0.25">
      <c r="A12" s="1"/>
      <c r="B12" s="125" t="s">
        <v>42</v>
      </c>
      <c r="C12" s="126"/>
      <c r="D12" s="126"/>
      <c r="E12" s="126"/>
      <c r="F12" s="127"/>
      <c r="G12" s="53">
        <f>(G10+G11)*'Fane 13. Nøgletal'!C31</f>
        <v>358077.96743260685</v>
      </c>
      <c r="H12" s="14" t="s">
        <v>3</v>
      </c>
      <c r="I12" s="1"/>
    </row>
    <row r="13" spans="1:9" x14ac:dyDescent="0.25">
      <c r="A13" s="1"/>
      <c r="B13" s="63"/>
      <c r="C13" s="64"/>
      <c r="D13" s="64"/>
      <c r="E13" s="64"/>
      <c r="F13" s="64"/>
      <c r="G13" s="54"/>
      <c r="H13" s="19"/>
      <c r="I13" s="1"/>
    </row>
    <row r="14" spans="1:9" x14ac:dyDescent="0.25">
      <c r="A14" s="1"/>
      <c r="B14" s="1"/>
      <c r="C14" s="1"/>
      <c r="D14" s="1"/>
      <c r="E14" s="1"/>
      <c r="F14" s="1"/>
      <c r="G14" s="55"/>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3">
        <f>(G10+G11-G12)*(1+'Fane 13. Nøgletal'!C11)</f>
        <v>17842344.769028675</v>
      </c>
      <c r="H16" s="14" t="s">
        <v>3</v>
      </c>
      <c r="I16" s="1"/>
    </row>
    <row r="17" spans="1:9" x14ac:dyDescent="0.25">
      <c r="A17" s="1"/>
      <c r="B17" s="125" t="s">
        <v>108</v>
      </c>
      <c r="C17" s="126"/>
      <c r="D17" s="126"/>
      <c r="E17" s="126"/>
      <c r="F17" s="127"/>
      <c r="G17" s="53">
        <v>0</v>
      </c>
      <c r="H17" s="14" t="s">
        <v>3</v>
      </c>
      <c r="I17" s="1"/>
    </row>
    <row r="18" spans="1:9" x14ac:dyDescent="0.25">
      <c r="A18" s="1"/>
      <c r="B18" s="129" t="s">
        <v>44</v>
      </c>
      <c r="C18" s="130"/>
      <c r="D18" s="130"/>
      <c r="E18" s="130"/>
      <c r="F18" s="131"/>
      <c r="G18" s="53">
        <v>0</v>
      </c>
      <c r="H18" s="14" t="s">
        <v>3</v>
      </c>
      <c r="I18" s="1"/>
    </row>
    <row r="19" spans="1:9" x14ac:dyDescent="0.25">
      <c r="A19" s="1"/>
      <c r="B19" s="125" t="s">
        <v>45</v>
      </c>
      <c r="C19" s="126"/>
      <c r="D19" s="126"/>
      <c r="E19" s="126"/>
      <c r="F19" s="127"/>
      <c r="G19" s="53">
        <f>SUM(G16:G18)*'Fane 13. Nøgletal'!C31</f>
        <v>356846.89538057352</v>
      </c>
      <c r="H19" s="14" t="s">
        <v>3</v>
      </c>
      <c r="I19" s="1"/>
    </row>
    <row r="20" spans="1:9" x14ac:dyDescent="0.25">
      <c r="A20" s="1"/>
      <c r="B20" s="63"/>
      <c r="C20" s="64"/>
      <c r="D20" s="64"/>
      <c r="E20" s="64"/>
      <c r="F20" s="64"/>
      <c r="G20" s="54"/>
      <c r="H20" s="19"/>
      <c r="I20" s="1"/>
    </row>
    <row r="21" spans="1:9" x14ac:dyDescent="0.25">
      <c r="A21" s="1"/>
      <c r="B21" s="1"/>
      <c r="C21" s="1"/>
      <c r="D21" s="1"/>
      <c r="E21" s="1"/>
      <c r="F21" s="1"/>
      <c r="G21" s="55"/>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3">
        <f>(SUM(G16:G18)-G19)*(1+'Fane 13. Nøgletal'!C11)</f>
        <v>17781002.787712753</v>
      </c>
      <c r="H23" s="14" t="s">
        <v>3</v>
      </c>
      <c r="I23" s="1"/>
    </row>
    <row r="24" spans="1:9" x14ac:dyDescent="0.25">
      <c r="A24" s="1"/>
      <c r="B24" s="129" t="s">
        <v>47</v>
      </c>
      <c r="C24" s="130"/>
      <c r="D24" s="130"/>
      <c r="E24" s="130"/>
      <c r="F24" s="131"/>
      <c r="G24" s="53">
        <v>0</v>
      </c>
      <c r="H24" s="14" t="s">
        <v>3</v>
      </c>
      <c r="I24" s="1"/>
    </row>
    <row r="25" spans="1:9" x14ac:dyDescent="0.25">
      <c r="A25" s="1"/>
      <c r="B25" s="125" t="s">
        <v>48</v>
      </c>
      <c r="C25" s="126"/>
      <c r="D25" s="126"/>
      <c r="E25" s="126"/>
      <c r="F25" s="127"/>
      <c r="G25" s="53">
        <f>(G23+G24)*'Fane 13. Nøgletal'!C31</f>
        <v>355620.05575425504</v>
      </c>
      <c r="H25" s="14" t="s">
        <v>3</v>
      </c>
      <c r="I25" s="1"/>
    </row>
    <row r="26" spans="1:9" x14ac:dyDescent="0.25">
      <c r="A26" s="1"/>
      <c r="B26" s="63"/>
      <c r="C26" s="64"/>
      <c r="D26" s="64"/>
      <c r="E26" s="64"/>
      <c r="F26" s="64"/>
      <c r="G26" s="54"/>
      <c r="H26" s="19"/>
      <c r="I26" s="1"/>
    </row>
    <row r="27" spans="1:9" x14ac:dyDescent="0.25">
      <c r="A27" s="1"/>
      <c r="B27" s="1"/>
      <c r="C27" s="1"/>
      <c r="D27" s="1"/>
      <c r="E27" s="1"/>
      <c r="F27" s="1"/>
      <c r="G27" s="55"/>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3">
        <f>(G23+G24-G25)*(1+'Fane 13. Nøgletal'!C13)</f>
        <v>17637972.40128839</v>
      </c>
      <c r="H29" s="14" t="s">
        <v>3</v>
      </c>
      <c r="I29" s="1"/>
    </row>
    <row r="30" spans="1:9" x14ac:dyDescent="0.25">
      <c r="A30" s="1"/>
      <c r="B30" s="125" t="s">
        <v>121</v>
      </c>
      <c r="C30" s="126"/>
      <c r="D30" s="126"/>
      <c r="E30" s="126"/>
      <c r="F30" s="127"/>
      <c r="G30" s="53">
        <v>2134.1352337200001</v>
      </c>
      <c r="H30" s="14" t="s">
        <v>3</v>
      </c>
      <c r="I30" s="1"/>
    </row>
    <row r="31" spans="1:9" x14ac:dyDescent="0.25">
      <c r="A31" s="1"/>
      <c r="B31" s="125" t="s">
        <v>126</v>
      </c>
      <c r="C31" s="126"/>
      <c r="D31" s="126"/>
      <c r="E31" s="126"/>
      <c r="F31" s="127"/>
      <c r="G31" s="53">
        <f>(G29+G30)*'Fane 13. Nøgletal'!C31</f>
        <v>352802.13073044218</v>
      </c>
      <c r="H31" s="14" t="s">
        <v>3</v>
      </c>
      <c r="I31" s="1"/>
    </row>
    <row r="32" spans="1:9" x14ac:dyDescent="0.25">
      <c r="A32" s="1"/>
      <c r="B32" s="63"/>
      <c r="C32" s="64"/>
      <c r="D32" s="64"/>
      <c r="E32" s="64"/>
      <c r="F32" s="64"/>
      <c r="G32" s="54"/>
      <c r="H32" s="19"/>
      <c r="I32" s="1"/>
    </row>
    <row r="33" spans="1:9" x14ac:dyDescent="0.25">
      <c r="A33" s="1"/>
      <c r="B33" s="1"/>
      <c r="C33" s="1"/>
      <c r="D33" s="1"/>
      <c r="E33" s="1"/>
      <c r="F33" s="1"/>
      <c r="G33" s="55"/>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3">
        <f>(G29+G30-G31)*(1+'Fane 13. Nøgletal'!C13)</f>
        <v>17498209.519542325</v>
      </c>
      <c r="H35" s="14" t="s">
        <v>3</v>
      </c>
      <c r="I35" s="1"/>
    </row>
    <row r="36" spans="1:9" x14ac:dyDescent="0.25">
      <c r="A36" s="1"/>
      <c r="B36" s="125" t="s">
        <v>152</v>
      </c>
      <c r="C36" s="126"/>
      <c r="D36" s="126"/>
      <c r="E36" s="126"/>
      <c r="F36" s="127"/>
      <c r="G36" s="53">
        <f>('Fane 3. Omkostninger i ØR2022'!E10+'Fane 3. Omkostninger i ØR2022'!E12+'Fane 3. Omkostninger i ØR2022'!E14)*(1+'Fane 13. Nøgletal'!C14)</f>
        <v>666461.97110565018</v>
      </c>
      <c r="H36" s="14" t="s">
        <v>3</v>
      </c>
      <c r="I36" s="1"/>
    </row>
    <row r="37" spans="1:9" x14ac:dyDescent="0.25">
      <c r="A37" s="1"/>
      <c r="B37" s="125" t="s">
        <v>134</v>
      </c>
      <c r="C37" s="126"/>
      <c r="D37" s="126"/>
      <c r="E37" s="126"/>
      <c r="F37" s="127"/>
      <c r="G37" s="53">
        <f>(G35+G36)*'Fane 13. Nøgletal'!C31</f>
        <v>363293.42981295951</v>
      </c>
      <c r="H37" s="14" t="s">
        <v>3</v>
      </c>
      <c r="I37" s="1"/>
    </row>
    <row r="38" spans="1:9" x14ac:dyDescent="0.25">
      <c r="A38" s="1"/>
      <c r="B38" s="63"/>
      <c r="C38" s="64"/>
      <c r="D38" s="64"/>
      <c r="E38" s="64"/>
      <c r="F38" s="64"/>
      <c r="G38" s="54"/>
      <c r="H38" s="19"/>
      <c r="I38" s="1"/>
    </row>
    <row r="39" spans="1:9" x14ac:dyDescent="0.25">
      <c r="A39" s="1"/>
      <c r="B39" s="1"/>
      <c r="C39" s="1"/>
      <c r="D39" s="1"/>
      <c r="E39" s="1"/>
      <c r="F39" s="1"/>
      <c r="G39" s="55"/>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3">
        <f>(G35+G36-G37)*(1+'Fane 13. Nøgletal'!C15)</f>
        <v>18435107.119800743</v>
      </c>
      <c r="H41" s="14" t="s">
        <v>3</v>
      </c>
      <c r="I41" s="1"/>
    </row>
    <row r="42" spans="1:9" x14ac:dyDescent="0.25">
      <c r="A42" s="1"/>
      <c r="B42" s="125" t="s">
        <v>197</v>
      </c>
      <c r="C42" s="126"/>
      <c r="D42" s="126"/>
      <c r="E42" s="126"/>
      <c r="F42" s="127"/>
      <c r="G42" s="53">
        <f>('Fane 2.1. Økonomisk ramme 2023'!C9+'Fane 2.1. Økonomisk ramme 2023'!C11+'Fane 2.1. Økonomisk ramme 2023'!C13)*(1+'Fane 13. Nøgletal'!C15)</f>
        <v>986251.70892960008</v>
      </c>
      <c r="H42" s="14" t="s">
        <v>3</v>
      </c>
      <c r="I42" s="1"/>
    </row>
    <row r="43" spans="1:9" x14ac:dyDescent="0.25">
      <c r="A43" s="1"/>
      <c r="B43" s="125" t="s">
        <v>208</v>
      </c>
      <c r="C43" s="126"/>
      <c r="D43" s="126"/>
      <c r="E43" s="126"/>
      <c r="F43" s="127"/>
      <c r="G43" s="53">
        <f>(G41+G42)*'Fane 13. Nøgletal'!C31</f>
        <v>388427.17657460686</v>
      </c>
      <c r="H43" s="14" t="s">
        <v>3</v>
      </c>
      <c r="I43" s="1"/>
    </row>
    <row r="44" spans="1:9" x14ac:dyDescent="0.25">
      <c r="A44" s="1"/>
      <c r="B44" s="63"/>
      <c r="C44" s="64"/>
      <c r="D44" s="64"/>
      <c r="E44" s="64"/>
      <c r="F44" s="64"/>
      <c r="G44" s="54"/>
      <c r="H44" s="19"/>
      <c r="I44" s="1"/>
    </row>
    <row r="45" spans="1:9" x14ac:dyDescent="0.25">
      <c r="A45" s="1"/>
      <c r="B45" s="1"/>
      <c r="C45" s="1"/>
      <c r="D45" s="1"/>
      <c r="E45" s="1"/>
      <c r="F45" s="1"/>
      <c r="G45" s="55"/>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3">
        <f>(G41+G42-G43)*(1+'Fane 13. Nøgletal'!C15)</f>
        <v>19710504.018972479</v>
      </c>
      <c r="H47" s="14" t="s">
        <v>3</v>
      </c>
      <c r="I47" s="1"/>
    </row>
    <row r="48" spans="1:9" x14ac:dyDescent="0.25">
      <c r="A48" s="1"/>
      <c r="B48" s="125" t="s">
        <v>209</v>
      </c>
      <c r="C48" s="126"/>
      <c r="D48" s="126"/>
      <c r="E48" s="126"/>
      <c r="F48" s="127"/>
      <c r="G48" s="53">
        <f>(G47)*'Fane 13. Nøgletal'!C31</f>
        <v>394210.08037944959</v>
      </c>
      <c r="H48" s="14" t="s">
        <v>3</v>
      </c>
      <c r="I48" s="1"/>
    </row>
    <row r="49" spans="1:9" x14ac:dyDescent="0.25">
      <c r="A49" s="1"/>
      <c r="B49" s="63"/>
      <c r="C49" s="64"/>
      <c r="D49" s="64"/>
      <c r="E49" s="64"/>
      <c r="F49" s="64"/>
      <c r="G49" s="54"/>
      <c r="H49" s="19"/>
      <c r="I49" s="1"/>
    </row>
    <row r="50" spans="1:9" x14ac:dyDescent="0.25">
      <c r="A50" s="1"/>
      <c r="B50" s="1"/>
      <c r="C50" s="1"/>
      <c r="D50" s="1"/>
      <c r="E50" s="1"/>
      <c r="F50" s="1"/>
      <c r="G50" s="55"/>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3">
        <f>(G47-G48)*(1+'Fane 13. Nøgletal'!C15)</f>
        <v>20003954.002806943</v>
      </c>
      <c r="H52" s="14" t="s">
        <v>3</v>
      </c>
      <c r="I52" s="1"/>
    </row>
    <row r="53" spans="1:9" x14ac:dyDescent="0.25">
      <c r="A53" s="1"/>
      <c r="B53" s="125" t="s">
        <v>147</v>
      </c>
      <c r="C53" s="126"/>
      <c r="D53" s="126"/>
      <c r="E53" s="126"/>
      <c r="F53" s="127"/>
      <c r="G53" s="53">
        <f>(G52)*'Fane 13. Nøgletal'!C31</f>
        <v>400079.08005613886</v>
      </c>
      <c r="H53" s="14" t="s">
        <v>3</v>
      </c>
      <c r="I53" s="1"/>
    </row>
    <row r="54" spans="1:9" x14ac:dyDescent="0.25">
      <c r="A54" s="1"/>
      <c r="B54" s="63"/>
      <c r="C54" s="64"/>
      <c r="D54" s="64"/>
      <c r="E54" s="64"/>
      <c r="F54" s="64"/>
      <c r="G54" s="54"/>
      <c r="H54" s="19"/>
      <c r="I54" s="1"/>
    </row>
    <row r="55" spans="1:9" x14ac:dyDescent="0.25">
      <c r="A55" s="1"/>
      <c r="B55" s="1"/>
      <c r="C55" s="1"/>
      <c r="D55" s="1"/>
      <c r="E55" s="1"/>
      <c r="F55" s="1"/>
      <c r="G55" s="55"/>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3">
        <f>(G52-G53)*(1+'Fane 13. Nøgletal'!C15)</f>
        <v>20301772.870000735</v>
      </c>
      <c r="H57" s="14" t="s">
        <v>3</v>
      </c>
      <c r="I57" s="1"/>
    </row>
    <row r="58" spans="1:9" x14ac:dyDescent="0.25">
      <c r="A58" s="1"/>
      <c r="B58" s="125" t="s">
        <v>176</v>
      </c>
      <c r="C58" s="126"/>
      <c r="D58" s="126"/>
      <c r="E58" s="126"/>
      <c r="F58" s="127"/>
      <c r="G58" s="53">
        <f>(G57)*'Fane 13. Nøgletal'!C31</f>
        <v>406035.45740001468</v>
      </c>
      <c r="H58" s="14" t="s">
        <v>3</v>
      </c>
      <c r="I58" s="1"/>
    </row>
    <row r="59" spans="1:9" x14ac:dyDescent="0.25">
      <c r="A59" s="1"/>
      <c r="B59" s="63"/>
      <c r="C59" s="64"/>
      <c r="D59" s="64"/>
      <c r="E59" s="64"/>
      <c r="F59" s="64"/>
      <c r="G59" s="36"/>
      <c r="H59" s="19"/>
      <c r="I59" s="1"/>
    </row>
    <row r="60" spans="1:9" x14ac:dyDescent="0.25">
      <c r="A60" s="1"/>
      <c r="B60" s="1"/>
      <c r="C60" s="1"/>
      <c r="D60" s="1"/>
      <c r="E60" s="1"/>
      <c r="F60" s="1"/>
      <c r="G60" s="37"/>
      <c r="H60" s="1"/>
      <c r="I60" s="1"/>
    </row>
    <row r="61" spans="1:9" x14ac:dyDescent="0.25">
      <c r="A61" s="1"/>
      <c r="B61" s="1"/>
      <c r="C61" s="1"/>
      <c r="D61" s="1"/>
      <c r="E61" s="1"/>
      <c r="F61" s="1"/>
      <c r="G61" s="37"/>
      <c r="H61" s="1"/>
      <c r="I61" s="1"/>
    </row>
    <row r="62" spans="1:9" x14ac:dyDescent="0.25">
      <c r="A62" s="1"/>
      <c r="B62" s="1"/>
      <c r="C62" s="1"/>
      <c r="D62" s="1"/>
      <c r="E62" s="1"/>
      <c r="F62" s="1"/>
      <c r="G62" s="37"/>
      <c r="H62" s="1"/>
      <c r="I62" s="1"/>
    </row>
    <row r="63" spans="1:9" x14ac:dyDescent="0.25">
      <c r="A63" s="1"/>
      <c r="B63" s="1"/>
      <c r="C63" s="1"/>
      <c r="D63" s="1"/>
      <c r="E63" s="1"/>
      <c r="F63" s="1"/>
      <c r="G63" s="37"/>
      <c r="H63" s="1"/>
      <c r="I63" s="1"/>
    </row>
    <row r="64" spans="1:9" x14ac:dyDescent="0.25">
      <c r="A64" s="1"/>
      <c r="B64" s="1"/>
      <c r="C64" s="1"/>
      <c r="D64" s="1"/>
      <c r="E64" s="1"/>
      <c r="F64" s="1"/>
      <c r="G64" s="37"/>
      <c r="H64" s="1"/>
      <c r="I64" s="1"/>
    </row>
    <row r="65" spans="1:9" x14ac:dyDescent="0.25">
      <c r="A65" s="1"/>
      <c r="B65" s="1"/>
      <c r="C65" s="1"/>
      <c r="D65" s="1"/>
      <c r="E65" s="1"/>
      <c r="F65" s="1"/>
      <c r="G65" s="37"/>
      <c r="H65" s="1"/>
      <c r="I65" s="1"/>
    </row>
  </sheetData>
  <sheetProtection algorithmName="SHA-512" hashValue="j6vba7X70Qgz143StbWzXDuTAwqKbObe2Ojk0AQIlhcGucUXaGgf4KHiIw3BHlYQNKxuXHuBFseBvQxQrGGrqQ==" saltValue="UFhXfwoJpjuIlkv/Bd/C+w=="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5.28515625" style="2" customWidth="1"/>
    <col min="2" max="5" width="9" style="2"/>
    <col min="6" max="6" width="25.7109375" style="2" customWidth="1"/>
    <col min="7" max="7" width="10.28515625" style="2" customWidth="1"/>
    <col min="8" max="8" width="2.85546875" style="2" bestFit="1" customWidth="1"/>
    <col min="9" max="9" width="5.2851562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3">
        <v>16941064.803280097</v>
      </c>
      <c r="H5" s="14" t="s">
        <v>3</v>
      </c>
      <c r="I5" s="1"/>
    </row>
    <row r="6" spans="1:9" x14ac:dyDescent="0.25">
      <c r="A6" s="1"/>
      <c r="B6" s="125" t="s">
        <v>54</v>
      </c>
      <c r="C6" s="126"/>
      <c r="D6" s="126"/>
      <c r="E6" s="126"/>
      <c r="F6" s="127"/>
      <c r="G6" s="53">
        <f>G5*'Fane 13. Nøgletal'!C20</f>
        <v>154163.6897098489</v>
      </c>
      <c r="H6" s="14" t="s">
        <v>3</v>
      </c>
      <c r="I6" s="1"/>
    </row>
    <row r="7" spans="1:9" x14ac:dyDescent="0.25">
      <c r="A7" s="1"/>
      <c r="B7" s="63"/>
      <c r="C7" s="64"/>
      <c r="D7" s="64"/>
      <c r="E7" s="64"/>
      <c r="F7" s="64"/>
      <c r="G7" s="56"/>
      <c r="H7" s="19"/>
      <c r="I7" s="1"/>
    </row>
    <row r="8" spans="1:9" x14ac:dyDescent="0.25">
      <c r="A8" s="1"/>
      <c r="B8" s="1"/>
      <c r="C8" s="1"/>
      <c r="D8" s="1"/>
      <c r="E8" s="1"/>
      <c r="F8" s="1"/>
      <c r="G8" s="57"/>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3">
        <f>(G5-G6)*(1+'Fane 13. Nøgletal'!C9)</f>
        <v>17000094.757712588</v>
      </c>
      <c r="H10" s="14" t="s">
        <v>3</v>
      </c>
      <c r="I10" s="1"/>
    </row>
    <row r="11" spans="1:9" x14ac:dyDescent="0.25">
      <c r="A11" s="1"/>
      <c r="B11" s="129" t="s">
        <v>59</v>
      </c>
      <c r="C11" s="130"/>
      <c r="D11" s="130"/>
      <c r="E11" s="130"/>
      <c r="F11" s="131"/>
      <c r="G11" s="58">
        <v>0</v>
      </c>
      <c r="H11" s="14" t="s">
        <v>3</v>
      </c>
      <c r="I11" s="1"/>
    </row>
    <row r="12" spans="1:9" x14ac:dyDescent="0.25">
      <c r="A12" s="1"/>
      <c r="B12" s="125" t="s">
        <v>60</v>
      </c>
      <c r="C12" s="126"/>
      <c r="D12" s="126"/>
      <c r="E12" s="126"/>
      <c r="F12" s="127"/>
      <c r="G12" s="53">
        <f>G10*'Fane 13. Nøgletal'!C20+G11*'Fane 13. Nøgletal'!C21</f>
        <v>154700.86229518455</v>
      </c>
      <c r="H12" s="14" t="s">
        <v>3</v>
      </c>
      <c r="I12" s="1"/>
    </row>
    <row r="13" spans="1:9" x14ac:dyDescent="0.25">
      <c r="A13" s="1"/>
      <c r="B13" s="63"/>
      <c r="C13" s="64"/>
      <c r="D13" s="64"/>
      <c r="E13" s="64"/>
      <c r="F13" s="64"/>
      <c r="G13" s="56"/>
      <c r="H13" s="19"/>
      <c r="I13" s="1"/>
    </row>
    <row r="14" spans="1:9" x14ac:dyDescent="0.25">
      <c r="A14" s="1"/>
      <c r="B14" s="1"/>
      <c r="C14" s="1"/>
      <c r="D14" s="1"/>
      <c r="E14" s="1"/>
      <c r="F14" s="1"/>
      <c r="G14" s="57"/>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3">
        <f>(G10+G11-G12)*(1+'Fane 13. Nøgletal'!C11)</f>
        <v>17130081.052249957</v>
      </c>
      <c r="H16" s="14" t="s">
        <v>3</v>
      </c>
      <c r="I16" s="1"/>
    </row>
    <row r="17" spans="1:9" x14ac:dyDescent="0.25">
      <c r="A17" s="1"/>
      <c r="B17" s="125" t="s">
        <v>109</v>
      </c>
      <c r="C17" s="126"/>
      <c r="D17" s="126"/>
      <c r="E17" s="126"/>
      <c r="F17" s="127"/>
      <c r="G17" s="53">
        <v>-256284.39526674541</v>
      </c>
      <c r="H17" s="14" t="s">
        <v>3</v>
      </c>
      <c r="I17" s="1"/>
    </row>
    <row r="18" spans="1:9" x14ac:dyDescent="0.25">
      <c r="A18" s="1"/>
      <c r="B18" s="129" t="s">
        <v>63</v>
      </c>
      <c r="C18" s="130"/>
      <c r="D18" s="130"/>
      <c r="E18" s="130"/>
      <c r="F18" s="131"/>
      <c r="G18" s="53">
        <v>265091.85837566672</v>
      </c>
      <c r="H18" s="14" t="s">
        <v>3</v>
      </c>
      <c r="I18" s="1"/>
    </row>
    <row r="19" spans="1:9" x14ac:dyDescent="0.25">
      <c r="A19" s="1"/>
      <c r="B19" s="125" t="s">
        <v>64</v>
      </c>
      <c r="C19" s="126"/>
      <c r="D19" s="126"/>
      <c r="E19" s="126"/>
      <c r="F19" s="127"/>
      <c r="G19" s="53">
        <f>(G16+G17+G18)*'Fane 13. Nøgletal'!C22</f>
        <v>149108.33008362225</v>
      </c>
      <c r="H19" s="14" t="s">
        <v>3</v>
      </c>
      <c r="I19" s="1"/>
    </row>
    <row r="20" spans="1:9" x14ac:dyDescent="0.25">
      <c r="A20" s="1"/>
      <c r="B20" s="63"/>
      <c r="C20" s="64"/>
      <c r="D20" s="64"/>
      <c r="E20" s="64"/>
      <c r="F20" s="64"/>
      <c r="G20" s="56"/>
      <c r="H20" s="19"/>
      <c r="I20" s="1"/>
    </row>
    <row r="21" spans="1:9" x14ac:dyDescent="0.25">
      <c r="A21" s="1"/>
      <c r="B21" s="1"/>
      <c r="C21" s="1"/>
      <c r="D21" s="1"/>
      <c r="E21" s="1"/>
      <c r="F21" s="1"/>
      <c r="G21" s="57"/>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3">
        <f>(SUM(G16:G18)-G19)*(1+'Fane 13. Nøgletal'!C11)</f>
        <v>17276907.470406406</v>
      </c>
      <c r="H23" s="14" t="s">
        <v>3</v>
      </c>
      <c r="I23" s="1"/>
    </row>
    <row r="24" spans="1:9" x14ac:dyDescent="0.25">
      <c r="A24" s="1"/>
      <c r="B24" s="129" t="s">
        <v>67</v>
      </c>
      <c r="C24" s="130"/>
      <c r="D24" s="130"/>
      <c r="E24" s="130"/>
      <c r="F24" s="131"/>
      <c r="G24" s="53">
        <v>6220.01235438</v>
      </c>
      <c r="H24" s="14" t="s">
        <v>3</v>
      </c>
      <c r="I24" s="1"/>
    </row>
    <row r="25" spans="1:9" x14ac:dyDescent="0.25">
      <c r="A25" s="1"/>
      <c r="B25" s="125" t="s">
        <v>68</v>
      </c>
      <c r="C25" s="126"/>
      <c r="D25" s="126"/>
      <c r="E25" s="126"/>
      <c r="F25" s="127"/>
      <c r="G25" s="53">
        <f>G23*'Fane 13. Nøgletal'!C22+G24*'Fane 13. Nøgletal'!C23</f>
        <v>150485.7433434001</v>
      </c>
      <c r="H25" s="14" t="s">
        <v>3</v>
      </c>
      <c r="I25" s="1"/>
    </row>
    <row r="26" spans="1:9" x14ac:dyDescent="0.25">
      <c r="A26" s="1"/>
      <c r="B26" s="63"/>
      <c r="C26" s="64"/>
      <c r="D26" s="64"/>
      <c r="E26" s="64"/>
      <c r="F26" s="64"/>
      <c r="G26" s="56"/>
      <c r="H26" s="19"/>
      <c r="I26" s="1"/>
    </row>
    <row r="27" spans="1:9" x14ac:dyDescent="0.25">
      <c r="A27" s="1"/>
      <c r="B27" s="1"/>
      <c r="C27" s="1"/>
      <c r="D27" s="1"/>
      <c r="E27" s="1"/>
      <c r="F27" s="1"/>
      <c r="G27" s="57"/>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3">
        <f>(G23+G24-G25)*(1+'Fane 13. Nøgletal'!C13)</f>
        <v>17341659.968638279</v>
      </c>
      <c r="H29" s="14" t="s">
        <v>3</v>
      </c>
      <c r="I29" s="1"/>
    </row>
    <row r="30" spans="1:9" x14ac:dyDescent="0.25">
      <c r="A30" s="1"/>
      <c r="B30" s="125" t="s">
        <v>123</v>
      </c>
      <c r="C30" s="126"/>
      <c r="D30" s="126"/>
      <c r="E30" s="126"/>
      <c r="F30" s="127"/>
      <c r="G30" s="53">
        <v>11801.778087960001</v>
      </c>
      <c r="H30" s="14" t="s">
        <v>3</v>
      </c>
      <c r="I30" s="1"/>
    </row>
    <row r="31" spans="1:9" x14ac:dyDescent="0.25">
      <c r="A31" s="1"/>
      <c r="B31" s="125" t="s">
        <v>131</v>
      </c>
      <c r="C31" s="126"/>
      <c r="D31" s="126"/>
      <c r="E31" s="126"/>
      <c r="F31" s="127"/>
      <c r="G31" s="53">
        <f>(G29+G30)*'Fane 13. Nøgletal'!C24</f>
        <v>477220.19803497154</v>
      </c>
      <c r="H31" s="14" t="s">
        <v>3</v>
      </c>
      <c r="I31" s="1"/>
    </row>
    <row r="32" spans="1:9" x14ac:dyDescent="0.25">
      <c r="A32" s="1"/>
      <c r="B32" s="63"/>
      <c r="C32" s="64"/>
      <c r="D32" s="64"/>
      <c r="E32" s="64"/>
      <c r="F32" s="64"/>
      <c r="G32" s="56"/>
      <c r="H32" s="19"/>
      <c r="I32" s="1"/>
    </row>
    <row r="33" spans="1:9" x14ac:dyDescent="0.25">
      <c r="A33" s="1"/>
      <c r="B33" s="1"/>
      <c r="C33" s="1"/>
      <c r="D33" s="1"/>
      <c r="E33" s="1"/>
      <c r="F33" s="1"/>
      <c r="G33" s="57"/>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3">
        <f>(G29+G30-G31)*(1+'Fane 13. Nøgletal'!C13)</f>
        <v>17082131.695585299</v>
      </c>
      <c r="H35" s="14" t="s">
        <v>3</v>
      </c>
      <c r="I35" s="1"/>
    </row>
    <row r="36" spans="1:9" x14ac:dyDescent="0.25">
      <c r="A36" s="1"/>
      <c r="B36" s="125" t="s">
        <v>141</v>
      </c>
      <c r="C36" s="126"/>
      <c r="D36" s="126"/>
      <c r="E36" s="126"/>
      <c r="F36" s="127"/>
      <c r="G36" s="53">
        <f>SUM('Fane 3. Omkostninger i ØR2022'!E11)*(1+'Fane 13. Nøgletal'!C14)</f>
        <v>237476.62133613005</v>
      </c>
      <c r="H36" s="14" t="s">
        <v>3</v>
      </c>
      <c r="I36" s="1"/>
    </row>
    <row r="37" spans="1:9" x14ac:dyDescent="0.25">
      <c r="A37" s="1"/>
      <c r="B37" s="125" t="s">
        <v>136</v>
      </c>
      <c r="C37" s="126"/>
      <c r="D37" s="126"/>
      <c r="E37" s="126"/>
      <c r="F37" s="127"/>
      <c r="G37" s="53">
        <f>G35*'Fane 13. Nøgletal'!C24+G36*'Fane 13. Nøgletal'!C25</f>
        <v>473273.27562437049</v>
      </c>
      <c r="H37" s="14" t="s">
        <v>3</v>
      </c>
      <c r="I37" s="1"/>
    </row>
    <row r="38" spans="1:9" x14ac:dyDescent="0.25">
      <c r="A38" s="1"/>
      <c r="B38" s="63"/>
      <c r="C38" s="64"/>
      <c r="D38" s="64"/>
      <c r="E38" s="64"/>
      <c r="F38" s="64"/>
      <c r="G38" s="56"/>
      <c r="H38" s="19"/>
      <c r="I38" s="1"/>
    </row>
    <row r="39" spans="1:9" x14ac:dyDescent="0.25">
      <c r="A39" s="1"/>
      <c r="B39" s="1"/>
      <c r="C39" s="1"/>
      <c r="D39" s="1"/>
      <c r="E39" s="1"/>
      <c r="F39" s="1"/>
      <c r="G39" s="57"/>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3">
        <f>(G35+G36-G37)*(1+'Fane 13. Nøgletal'!C15)</f>
        <v>17446064.568767231</v>
      </c>
      <c r="H41" s="14" t="s">
        <v>3</v>
      </c>
      <c r="I41" s="1"/>
    </row>
    <row r="42" spans="1:9" x14ac:dyDescent="0.25">
      <c r="A42" s="1"/>
      <c r="B42" s="125" t="s">
        <v>211</v>
      </c>
      <c r="C42" s="126"/>
      <c r="D42" s="126"/>
      <c r="E42" s="126"/>
      <c r="F42" s="127"/>
      <c r="G42" s="58">
        <f>SUM('Fane 2.1. Økonomisk ramme 2023'!C10+'Fane 2.1. Økonomisk ramme 2023'!C12+'Fane 2.1. Økonomisk ramme 2023'!C14)*(1+'Fane 13. Nøgletal'!C15)</f>
        <v>26109.217879200001</v>
      </c>
      <c r="H42" s="14" t="s">
        <v>3</v>
      </c>
      <c r="I42" s="1"/>
    </row>
    <row r="43" spans="1:9" x14ac:dyDescent="0.25">
      <c r="A43" s="1"/>
      <c r="B43" s="125" t="s">
        <v>70</v>
      </c>
      <c r="C43" s="126"/>
      <c r="D43" s="126"/>
      <c r="E43" s="126"/>
      <c r="F43" s="127"/>
      <c r="G43" s="53">
        <f>(G41+G42)*'Fane 13. Nøgletal'!C26</f>
        <v>0</v>
      </c>
      <c r="H43" s="14" t="s">
        <v>3</v>
      </c>
      <c r="I43" s="1"/>
    </row>
    <row r="44" spans="1:9" x14ac:dyDescent="0.25">
      <c r="A44" s="1"/>
      <c r="B44" s="63"/>
      <c r="C44" s="64"/>
      <c r="D44" s="64"/>
      <c r="E44" s="64"/>
      <c r="F44" s="64"/>
      <c r="G44" s="56"/>
      <c r="H44" s="19"/>
      <c r="I44" s="1"/>
    </row>
    <row r="45" spans="1:9" ht="12" customHeight="1" x14ac:dyDescent="0.25">
      <c r="A45" s="1"/>
      <c r="B45" s="1"/>
      <c r="C45" s="1"/>
      <c r="D45" s="1"/>
      <c r="E45" s="1"/>
      <c r="F45" s="1"/>
      <c r="G45" s="57"/>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3">
        <f>(G41+G42-G43)*(1+'Fane 13. Nøgletal'!C15)</f>
        <v>18094183.173451044</v>
      </c>
      <c r="H47" s="14" t="s">
        <v>3</v>
      </c>
      <c r="I47" s="1"/>
    </row>
    <row r="48" spans="1:9" x14ac:dyDescent="0.25">
      <c r="A48" s="1"/>
      <c r="B48" s="125" t="s">
        <v>125</v>
      </c>
      <c r="C48" s="126"/>
      <c r="D48" s="126"/>
      <c r="E48" s="126"/>
      <c r="F48" s="127"/>
      <c r="G48" s="53">
        <f>(G47)*'Fane 13. Nøgletal'!C26</f>
        <v>0</v>
      </c>
      <c r="H48" s="14" t="s">
        <v>3</v>
      </c>
      <c r="I48" s="1"/>
    </row>
    <row r="49" spans="1:9" x14ac:dyDescent="0.25">
      <c r="A49" s="1"/>
      <c r="B49" s="63"/>
      <c r="C49" s="64"/>
      <c r="D49" s="64"/>
      <c r="E49" s="64"/>
      <c r="F49" s="64"/>
      <c r="G49" s="56"/>
      <c r="H49" s="19"/>
      <c r="I49" s="1"/>
    </row>
    <row r="50" spans="1:9" x14ac:dyDescent="0.25">
      <c r="A50" s="1"/>
      <c r="B50" s="1"/>
      <c r="C50" s="1"/>
      <c r="D50" s="1"/>
      <c r="E50" s="1"/>
      <c r="F50" s="1"/>
      <c r="G50" s="57"/>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3">
        <f>(G47-G48)*(1+'Fane 13. Nøgletal'!C15)</f>
        <v>18738336.094425902</v>
      </c>
      <c r="H52" s="14" t="s">
        <v>3</v>
      </c>
      <c r="I52" s="1"/>
    </row>
    <row r="53" spans="1:9" x14ac:dyDescent="0.25">
      <c r="A53" s="1"/>
      <c r="B53" s="125" t="s">
        <v>144</v>
      </c>
      <c r="C53" s="126"/>
      <c r="D53" s="126"/>
      <c r="E53" s="126"/>
      <c r="F53" s="127"/>
      <c r="G53" s="53">
        <f>(G52)*'Fane 13. Nøgletal'!C26</f>
        <v>0</v>
      </c>
      <c r="H53" s="14" t="s">
        <v>3</v>
      </c>
      <c r="I53" s="1"/>
    </row>
    <row r="54" spans="1:9" x14ac:dyDescent="0.25">
      <c r="A54" s="1"/>
      <c r="B54" s="63"/>
      <c r="C54" s="64"/>
      <c r="D54" s="64"/>
      <c r="E54" s="64"/>
      <c r="F54" s="64"/>
      <c r="G54" s="56"/>
      <c r="H54" s="19"/>
      <c r="I54" s="1"/>
    </row>
    <row r="55" spans="1:9" x14ac:dyDescent="0.25">
      <c r="A55" s="1"/>
      <c r="B55" s="1"/>
      <c r="C55" s="1"/>
      <c r="D55" s="1"/>
      <c r="E55" s="1"/>
      <c r="F55" s="1"/>
      <c r="G55" s="57"/>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3">
        <f>(G52-G53)*(1+'Fane 13. Nøgletal'!C15)</f>
        <v>19405420.859387465</v>
      </c>
      <c r="H57" s="14" t="s">
        <v>3</v>
      </c>
      <c r="I57" s="1"/>
    </row>
    <row r="58" spans="1:9" x14ac:dyDescent="0.25">
      <c r="A58" s="1"/>
      <c r="B58" s="125" t="s">
        <v>179</v>
      </c>
      <c r="C58" s="126"/>
      <c r="D58" s="126"/>
      <c r="E58" s="126"/>
      <c r="F58" s="127"/>
      <c r="G58" s="53">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UIOp8zkecuJkiy8YpP5m5DgD8SSGKJQSJHb33ODYq+EKjQHALURTQ2SCvGjqvAKU+xKM7Fez7+MPlxk81Ufw1Q==" saltValue="Xn3NqoLi/BPV0i1vppb0o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2" t="s">
        <v>180</v>
      </c>
      <c r="C9" s="73"/>
      <c r="D9" s="73"/>
      <c r="E9" s="73"/>
      <c r="F9" s="74"/>
      <c r="G9" s="59">
        <v>1.1131286480990611E-2</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iLN74ap3M9W7GPE3iOtImEhlK1qIeYv4sSXq4FElQeD9trXLvlJWJoiYs3F8omguR8v2zZ/ipV9T9qSBICcbnA==" saltValue="j/HIMRYJomlePP1y20ROe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lpstr>'Fane 9. Anlægsprojekter (§ 19) '!Kap4_invest_levetid_tekst</vt:lpstr>
      <vt:lpstr>'Fane 9. Anlægsprojekter (§ 19) '!Kap4_invest_overskrift</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2022-12-01T08:58:25Z</dcterms:modified>
</cp:coreProperties>
</file>