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nne Vand AS (V16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<sst xmlns="http://schemas.openxmlformats.org/spreadsheetml/2006/main" count="617" uniqueCount="253">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</sst>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252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163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15</v>
      </c>
      <c r="D14" s="70" t="s">
        <v>83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35</v>
      </c>
      <c r="D15" s="70" t="s">
        <v>128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36</v>
      </c>
      <c r="D16" s="70" t="s">
        <v>180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127</v>
      </c>
      <c r="D17" s="70" t="s">
        <v>181</v>
      </c>
      <c r="E17" s="71"/>
      <c r="F17" s="71"/>
      <c r="G17" s="72"/>
      <c r="H17" s="1"/>
      <c r="I17" s="1"/>
    </row>
    <row r="18" spans="1:9" x14ac:dyDescent="0.25">
      <c r="A18" s="1"/>
      <c r="B18" s="1"/>
      <c r="C18" s="32" t="s">
        <v>111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32" t="s">
        <v>112</v>
      </c>
      <c r="D19" s="79" t="s">
        <v>101</v>
      </c>
      <c r="E19" s="80"/>
      <c r="F19" s="80"/>
      <c r="G19" s="81"/>
      <c r="H19" s="1"/>
      <c r="I19" s="1"/>
    </row>
    <row r="20" spans="1:9" x14ac:dyDescent="0.25">
      <c r="A20" s="1"/>
      <c r="B20" s="1"/>
      <c r="C20" s="32" t="s">
        <v>7</v>
      </c>
      <c r="D20" s="79" t="s">
        <v>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113</v>
      </c>
      <c r="D21" s="85" t="s">
        <v>12</v>
      </c>
      <c r="E21" s="86"/>
      <c r="F21" s="86"/>
      <c r="G21" s="87"/>
      <c r="H21" s="1"/>
      <c r="I21" s="1"/>
    </row>
    <row r="22" spans="1:9" x14ac:dyDescent="0.25">
      <c r="A22" s="1"/>
      <c r="B22" s="1"/>
      <c r="C22" s="6" t="s">
        <v>87</v>
      </c>
      <c r="D22" s="74" t="s">
        <v>182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82" t="s">
        <v>109</v>
      </c>
      <c r="E28" s="83"/>
      <c r="F28" s="83"/>
      <c r="G28" s="8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KHj9TNZBy8+wEKG3/M/tVabaE/vgjXk0Hx+NM/37EWEStYzKWQi8dal2M6w3YxJD1vwYo3yV63GbH/NZJ6Vrg==" saltValue="48g6A9F+CKgKTvdlVy1xv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202</v>
      </c>
      <c r="C8" s="115"/>
      <c r="D8" s="116"/>
      <c r="E8" s="1"/>
      <c r="F8" s="1"/>
    </row>
    <row r="9" spans="1:6" ht="15" customHeight="1" x14ac:dyDescent="0.25">
      <c r="A9" s="1"/>
      <c r="B9" s="51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5637660.21</v>
      </c>
      <c r="D10" s="14" t="s">
        <v>3</v>
      </c>
      <c r="E10" s="1"/>
      <c r="F10" s="1"/>
    </row>
    <row r="11" spans="1:6" x14ac:dyDescent="0.25">
      <c r="A11" s="1"/>
      <c r="B11" s="62" t="s">
        <v>228</v>
      </c>
      <c r="C11" s="9">
        <v>55486</v>
      </c>
      <c r="D11" s="14" t="s">
        <v>3</v>
      </c>
      <c r="E11" s="1"/>
      <c r="F11" s="1"/>
    </row>
    <row r="12" spans="1:6" x14ac:dyDescent="0.25">
      <c r="A12" s="1"/>
      <c r="B12" s="62" t="s">
        <v>229</v>
      </c>
      <c r="C12" s="9">
        <v>13028.21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289770.03000000003</v>
      </c>
      <c r="D13" s="14" t="s">
        <v>3</v>
      </c>
      <c r="E13" s="1"/>
      <c r="F13" s="1"/>
    </row>
    <row r="14" spans="1:6" x14ac:dyDescent="0.25">
      <c r="A14" s="1"/>
      <c r="B14" s="54" t="s">
        <v>204</v>
      </c>
      <c r="C14" s="12">
        <f>SUM(C10:C13)</f>
        <v>5995944.4500000002</v>
      </c>
      <c r="D14" s="13" t="s">
        <v>3</v>
      </c>
      <c r="E14" s="1"/>
      <c r="F14" s="1"/>
    </row>
    <row r="15" spans="1:6" x14ac:dyDescent="0.25">
      <c r="A15" s="1"/>
      <c r="B15" s="54" t="s">
        <v>205</v>
      </c>
      <c r="C15" s="12">
        <f>C14*(1+'Fane 12. Nøgletal'!C14)^2</f>
        <v>6035582.9792050617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7WfUWWmVgLFahdzBAiTGziWhRPy9blftw+e+u7QUizdJRsFJkd5MG8rFVwsR+CAFzvCJS/14jp9XhqGqRKrnKQ==" saltValue="vSpBMD+dNTCNooGJgTsGm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220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232</v>
      </c>
      <c r="C8" s="115"/>
      <c r="D8" s="115"/>
      <c r="E8" s="115"/>
      <c r="F8" s="116"/>
      <c r="G8" s="1"/>
    </row>
    <row r="9" spans="1:7" x14ac:dyDescent="0.25">
      <c r="A9" s="1"/>
      <c r="B9" s="111" t="s">
        <v>233</v>
      </c>
      <c r="C9" s="112"/>
      <c r="D9" s="113"/>
      <c r="E9" s="9">
        <v>2193062.9544634297</v>
      </c>
      <c r="F9" s="14" t="s">
        <v>3</v>
      </c>
      <c r="G9" s="1"/>
    </row>
    <row r="10" spans="1:7" x14ac:dyDescent="0.25">
      <c r="A10" s="1"/>
      <c r="B10" s="111" t="s">
        <v>234</v>
      </c>
      <c r="C10" s="112"/>
      <c r="D10" s="113"/>
      <c r="E10" s="9">
        <v>1854488.9073173236</v>
      </c>
      <c r="F10" s="14" t="s">
        <v>3</v>
      </c>
      <c r="G10" s="1"/>
    </row>
    <row r="11" spans="1:7" x14ac:dyDescent="0.25">
      <c r="A11" s="1"/>
      <c r="B11" s="111" t="s">
        <v>235</v>
      </c>
      <c r="C11" s="112"/>
      <c r="D11" s="113"/>
      <c r="E11" s="9">
        <v>1112063.7710911334</v>
      </c>
      <c r="F11" s="14" t="s">
        <v>3</v>
      </c>
      <c r="G11" s="1"/>
    </row>
    <row r="12" spans="1:7" x14ac:dyDescent="0.25">
      <c r="A12" s="1"/>
      <c r="B12" s="111" t="s">
        <v>236</v>
      </c>
      <c r="C12" s="112"/>
      <c r="D12" s="113"/>
      <c r="E12" s="9">
        <f>IF(OR(AND(E10&gt;0,E11&lt;0),AND(E11&lt;0,E34&gt;0)),E17+E18,E11)</f>
        <v>1112063.7710911334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0" t="s">
        <v>237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238</v>
      </c>
      <c r="C16" s="115"/>
      <c r="D16" s="115"/>
      <c r="E16" s="115"/>
      <c r="F16" s="116"/>
      <c r="G16" s="1"/>
    </row>
    <row r="17" spans="1:7" x14ac:dyDescent="0.25">
      <c r="A17" s="1"/>
      <c r="B17" s="111" t="s">
        <v>239</v>
      </c>
      <c r="C17" s="112"/>
      <c r="D17" s="113"/>
      <c r="E17" s="9">
        <v>0</v>
      </c>
      <c r="F17" s="14" t="s">
        <v>3</v>
      </c>
      <c r="G17" s="1"/>
    </row>
    <row r="18" spans="1:7" x14ac:dyDescent="0.25">
      <c r="A18" s="1"/>
      <c r="B18" s="111" t="s">
        <v>240</v>
      </c>
      <c r="C18" s="112"/>
      <c r="D18" s="113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0" t="s">
        <v>241</v>
      </c>
      <c r="C20" s="91"/>
      <c r="D20" s="91"/>
      <c r="E20" s="91"/>
      <c r="F20" s="9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206</v>
      </c>
      <c r="C22" s="57"/>
      <c r="D22" s="57"/>
      <c r="E22" s="57"/>
      <c r="F22" s="58"/>
      <c r="G22" s="1"/>
    </row>
    <row r="23" spans="1:7" x14ac:dyDescent="0.25">
      <c r="A23" s="1"/>
      <c r="B23" s="59" t="s">
        <v>207</v>
      </c>
      <c r="C23" s="60"/>
      <c r="D23" s="61"/>
      <c r="E23" s="9">
        <v>18405961.662631672</v>
      </c>
      <c r="F23" s="14" t="s">
        <v>3</v>
      </c>
      <c r="G23" s="1"/>
    </row>
    <row r="24" spans="1:7" x14ac:dyDescent="0.25">
      <c r="A24" s="1"/>
      <c r="B24" s="59" t="s">
        <v>208</v>
      </c>
      <c r="C24" s="60"/>
      <c r="D24" s="61"/>
      <c r="E24" s="9">
        <v>15299376.92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63" t="s">
        <v>249</v>
      </c>
      <c r="C26" s="64"/>
      <c r="D26" s="65"/>
      <c r="E26" s="45">
        <f>E23-(E24-E25)</f>
        <v>3106584.742631672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242</v>
      </c>
      <c r="C29" s="115"/>
      <c r="D29" s="115"/>
      <c r="E29" s="115"/>
      <c r="F29" s="116"/>
      <c r="G29" s="1"/>
    </row>
    <row r="30" spans="1:7" x14ac:dyDescent="0.25">
      <c r="A30" s="1"/>
      <c r="B30" s="135" t="s">
        <v>243</v>
      </c>
      <c r="C30" s="136"/>
      <c r="D30" s="137"/>
      <c r="E30" s="9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4"/>
      <c r="C31" s="115"/>
      <c r="D31" s="115"/>
      <c r="E31" s="115"/>
      <c r="F31" s="116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4" t="s">
        <v>244</v>
      </c>
      <c r="C33" s="115"/>
      <c r="D33" s="115"/>
      <c r="E33" s="115"/>
      <c r="F33" s="116"/>
      <c r="G33" s="1"/>
    </row>
    <row r="34" spans="1:7" x14ac:dyDescent="0.25">
      <c r="A34" s="1"/>
      <c r="B34" s="129" t="s">
        <v>250</v>
      </c>
      <c r="C34" s="130"/>
      <c r="D34" s="131"/>
      <c r="E34" s="9">
        <v>0</v>
      </c>
      <c r="F34" s="14"/>
      <c r="G34" s="1"/>
    </row>
    <row r="35" spans="1:7" x14ac:dyDescent="0.25">
      <c r="A35" s="1"/>
      <c r="B35" s="129" t="s">
        <v>161</v>
      </c>
      <c r="C35" s="130"/>
      <c r="D35" s="131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29" t="s">
        <v>110</v>
      </c>
      <c r="C36" s="130"/>
      <c r="D36" s="131"/>
      <c r="E36" s="9">
        <v>4</v>
      </c>
      <c r="F36" s="14" t="s">
        <v>19</v>
      </c>
      <c r="G36" s="1"/>
    </row>
    <row r="37" spans="1:7" x14ac:dyDescent="0.25">
      <c r="A37" s="1"/>
      <c r="B37" s="138" t="s">
        <v>160</v>
      </c>
      <c r="C37" s="138"/>
      <c r="D37" s="138"/>
      <c r="E37" s="10">
        <f>E35/E36</f>
        <v>0</v>
      </c>
      <c r="F37" s="17" t="s">
        <v>3</v>
      </c>
      <c r="G37" s="1"/>
    </row>
    <row r="38" spans="1:7" x14ac:dyDescent="0.25">
      <c r="A38" s="1"/>
      <c r="B38" s="132"/>
      <c r="C38" s="133"/>
      <c r="D38" s="133"/>
      <c r="E38" s="133"/>
      <c r="F38" s="134"/>
      <c r="G38" s="1"/>
    </row>
    <row r="39" spans="1:7" ht="75" customHeight="1" x14ac:dyDescent="0.25">
      <c r="A39" s="1"/>
      <c r="B39" s="90" t="s">
        <v>248</v>
      </c>
      <c r="C39" s="91"/>
      <c r="D39" s="91"/>
      <c r="E39" s="91"/>
      <c r="F39" s="9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2L1KRW4HDvH7lgGfp24PeyaBl1YDSm5lEqY6uJ8O6D//95e+hhlf0CDELd8wymjdbstvBFrntbV0HKj6OKwZA==" saltValue="/a1tCtsEro/NWx9zEIHnzw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157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x14ac:dyDescent="0.25">
      <c r="A10" s="1"/>
      <c r="B10" s="67" t="s">
        <v>251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158</v>
      </c>
      <c r="C11" s="115"/>
      <c r="D11" s="11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Rk0xL5iFo7rvKWtdRrGpwLgMjcxqJ1lI4xVTS1v2IH2FIzxB+kZfWIDl+vngLz+GHI4X0LbAmvX6QHVbucVGQ==" saltValue="jUCP/qlLYOowF7temAd/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4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L/vavdYIMx+T1fFVKLDYXOh3+9aS9Ndi0qFAkRTR4tl6aVFvTPDRQhXJVUx3/gkn5ZTfYzsXeKODdRhi7aWyg==" saltValue="ewHLljKjopfsjGzGldmj1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102</v>
      </c>
      <c r="C8" s="115"/>
      <c r="D8" s="115"/>
      <c r="E8" s="115"/>
      <c r="F8" s="116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247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103</v>
      </c>
      <c r="C16" s="115"/>
      <c r="D16" s="115"/>
      <c r="E16" s="115"/>
      <c r="F16" s="116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138</v>
      </c>
      <c r="C24" s="115"/>
      <c r="D24" s="115"/>
      <c r="E24" s="115"/>
      <c r="F24" s="116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211</v>
      </c>
      <c r="C32" s="115"/>
      <c r="D32" s="115"/>
      <c r="E32" s="115"/>
      <c r="F32" s="116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N2++4N0vJvRCklXc7wsApIn0XpgJxxt8XfRmWNwtiAG+pdOEiHhuq6yWuwYhj4nAIOGK/rUTr/zOedFFOYSlA==" saltValue="ssIVLG/F4ekT3s2rqAW01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166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130</v>
      </c>
      <c r="C8" s="115"/>
      <c r="D8" s="115"/>
      <c r="E8" s="115"/>
      <c r="F8" s="116"/>
      <c r="G8" s="1"/>
    </row>
    <row r="9" spans="1:7" ht="15" customHeight="1" x14ac:dyDescent="0.25">
      <c r="A9" s="1"/>
      <c r="B9" s="47" t="s">
        <v>131</v>
      </c>
      <c r="C9" s="99" t="s">
        <v>11</v>
      </c>
      <c r="D9" s="101"/>
      <c r="E9" s="99" t="s">
        <v>32</v>
      </c>
      <c r="F9" s="101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rXHaLRb6r2+vqQc+QwSCfjWL3t2QMKj6LpVM8F2DAwzWRsQ7i3z0abxEK7RC5HTRIPBvWROvqOfJgQDzGF+Neg==" saltValue="//9zRGgFLBpwQaMhng0eA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165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98</v>
      </c>
      <c r="C8" s="115"/>
      <c r="D8" s="115"/>
      <c r="E8" s="115"/>
      <c r="F8" s="116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99</v>
      </c>
      <c r="C15" s="115"/>
      <c r="D15" s="115"/>
      <c r="E15" s="115"/>
      <c r="F15" s="116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4" t="s">
        <v>142</v>
      </c>
      <c r="C22" s="115"/>
      <c r="D22" s="115"/>
      <c r="E22" s="115"/>
      <c r="F22" s="116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214</v>
      </c>
      <c r="C29" s="115"/>
      <c r="D29" s="115"/>
      <c r="E29" s="115"/>
      <c r="F29" s="116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da1fFTYiUe343BNoaFuSnWuesQxKNJvviceIIiBbg6TNljLRct1dcZRiOEGZaKCoNUI5IRVCcO1H2oWoef60A==" saltValue="nmzyZm2qe1Py8GxuNIXv5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164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4"/>
      <c r="C15" s="116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WLatkKoLD9ua8cO2QPkeexO7QnwI9rS9zD18IWXDxoJ2yWatEfwTCCR0CiKgHzqDwkTsAK4/HciqRk7brC6mZA==" saltValue="E6wQUNaIcAjFJjLlClu1j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10747667.605327634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131121.54478499715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-41898.502514365471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-126451.99059823753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-141860.20226502378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10568578.454735003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omk.'!C15</f>
        <v>6035582.9792050617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5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16604161.433940064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KhuFYMHXjFWOa4hImCI8uoUj62GBPAlNVMhDbh9TzDrlgIQZDWHysmX/KT6u5gYBpeS+mqIad/UDE3MXUYByvQ==" saltValue="2zzMBRzYoPtX+vnCh4K4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10568578.454735003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34876.30890062551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-40838.081329165965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-124331.8965238675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-74492.065856052679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10363792.719926544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omk.'!C15*(1+'Fane 12. Nøgletal'!C14)</f>
        <v>6055500.4030364389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5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16419293.122962981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9z2YpyanqNJHQTmbZYSPpEeSOrx3Nanb9VegI2hfpEaATM6C/y9a16JDM9pXZZafsEJczUWblK+IqmaIzWBPdA==" saltValue="v1PikWUNYpnKyXj+X9pk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10363792.719926544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34200.515975757597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-40046.768048105543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-122247.34794674834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-73631.768906211684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10162067.351001237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omk.'!C15*(1+'Fane 12. Nøgletal'!C14)^2</f>
        <v>6075483.5543664591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5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186</v>
      </c>
      <c r="C26" s="12">
        <f>SUM(C15,C17,C21,C23,C25)</f>
        <v>16237550.905367695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1bm6C8LA9daeO0im9z/p4wrKUi0DkEygYaz9kmC3qSZr/MEg5hNJY4Ba6rAm75+6XSkO0mBV+47n+tC5esBDA==" saltValue="+c4R3BWK+dUBcYNhK7nT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188</v>
      </c>
      <c r="C8" s="7">
        <f>'Fane 2.3. Økonomisk ramme 2024'!C15</f>
        <v>10162067.351001237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33534.822258304077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-39267.280337661679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-120197.74891107317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-72781.407388196865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9963355.7366226092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omk.'!C15*(1+'Fane 12. Nøgletal'!C14)^3</f>
        <v>6095532.6500958698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5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189</v>
      </c>
      <c r="C26" s="12">
        <f>SUM(C15,C17,C21,C23,C25)</f>
        <v>16058888.386718478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0mlGsf/V9XOBba4rnQ3OqSJ3napTyLI9grZcmf2SNeQ3R+9dTjhK/WCNU2MzyeBn65iugi3aJqSATs/YYjXYA==" saltValue="ZI/DMx4JwYMx1UJ2PGa/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190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223</v>
      </c>
      <c r="C8" s="55"/>
      <c r="D8" s="55"/>
      <c r="E8" s="55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10928533.986929908</v>
      </c>
      <c r="F9" s="8" t="s">
        <v>3</v>
      </c>
      <c r="G9" s="1"/>
    </row>
    <row r="10" spans="1:7" ht="15" customHeight="1" x14ac:dyDescent="0.25">
      <c r="A10" s="1"/>
      <c r="B10" s="93" t="s">
        <v>40</v>
      </c>
      <c r="C10" s="94"/>
      <c r="D10" s="95"/>
      <c r="E10" s="9">
        <v>0</v>
      </c>
      <c r="F10" s="8" t="s">
        <v>3</v>
      </c>
      <c r="G10" s="1"/>
    </row>
    <row r="11" spans="1:7" ht="15" customHeight="1" x14ac:dyDescent="0.25">
      <c r="A11" s="1"/>
      <c r="B11" s="93" t="s">
        <v>41</v>
      </c>
      <c r="C11" s="94"/>
      <c r="D11" s="95"/>
      <c r="E11" s="9">
        <v>0</v>
      </c>
      <c r="F11" s="8" t="s">
        <v>3</v>
      </c>
      <c r="G11" s="1"/>
    </row>
    <row r="12" spans="1:7" x14ac:dyDescent="0.25">
      <c r="A12" s="1"/>
      <c r="B12" s="93" t="s">
        <v>28</v>
      </c>
      <c r="C12" s="94"/>
      <c r="D12" s="95"/>
      <c r="E12" s="9">
        <v>0</v>
      </c>
      <c r="F12" s="8" t="s">
        <v>3</v>
      </c>
      <c r="G12" s="1"/>
    </row>
    <row r="13" spans="1:7" x14ac:dyDescent="0.25">
      <c r="A13" s="1"/>
      <c r="B13" s="93" t="s">
        <v>27</v>
      </c>
      <c r="C13" s="94"/>
      <c r="D13" s="95"/>
      <c r="E13" s="9">
        <v>0</v>
      </c>
      <c r="F13" s="8" t="s">
        <v>3</v>
      </c>
      <c r="G13" s="1"/>
    </row>
    <row r="14" spans="1:7" x14ac:dyDescent="0.25">
      <c r="A14" s="1"/>
      <c r="B14" s="93" t="s">
        <v>132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93" t="s">
        <v>133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93" t="s">
        <v>18</v>
      </c>
      <c r="C16" s="94"/>
      <c r="D16" s="95"/>
      <c r="E16" s="9">
        <v>133328.1146405449</v>
      </c>
      <c r="F16" s="8" t="s">
        <v>3</v>
      </c>
      <c r="G16" s="1"/>
    </row>
    <row r="17" spans="1:7" x14ac:dyDescent="0.25">
      <c r="A17" s="1"/>
      <c r="B17" s="93" t="s">
        <v>9</v>
      </c>
      <c r="C17" s="94"/>
      <c r="D17" s="95"/>
      <c r="E17" s="9">
        <v>-42603.588568624407</v>
      </c>
      <c r="F17" s="8" t="s">
        <v>3</v>
      </c>
      <c r="G17" s="1"/>
    </row>
    <row r="18" spans="1:7" x14ac:dyDescent="0.25">
      <c r="A18" s="1"/>
      <c r="B18" s="93" t="s">
        <v>25</v>
      </c>
      <c r="C18" s="94"/>
      <c r="D18" s="95"/>
      <c r="E18" s="9">
        <v>-127477.4189563222</v>
      </c>
      <c r="F18" s="8" t="s">
        <v>3</v>
      </c>
      <c r="G18" s="1"/>
    </row>
    <row r="19" spans="1:7" x14ac:dyDescent="0.25">
      <c r="A19" s="1"/>
      <c r="B19" s="93" t="s">
        <v>26</v>
      </c>
      <c r="C19" s="94"/>
      <c r="D19" s="95"/>
      <c r="E19" s="9">
        <v>-144113.48871787201</v>
      </c>
      <c r="F19" s="8" t="s">
        <v>3</v>
      </c>
      <c r="G19" s="1"/>
    </row>
    <row r="20" spans="1:7" x14ac:dyDescent="0.25">
      <c r="A20" s="1"/>
      <c r="B20" s="96" t="s">
        <v>20</v>
      </c>
      <c r="C20" s="97"/>
      <c r="D20" s="98"/>
      <c r="E20" s="10">
        <f>SUM(E9:E19)</f>
        <v>10747667.605327634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4" t="s">
        <v>12</v>
      </c>
      <c r="C22" s="105"/>
      <c r="D22" s="106"/>
      <c r="E22" s="10">
        <v>6336363.2829336002</v>
      </c>
      <c r="F22" s="11" t="s">
        <v>3</v>
      </c>
      <c r="G22" s="1"/>
    </row>
    <row r="23" spans="1:7" ht="15" customHeight="1" x14ac:dyDescent="0.25">
      <c r="A23" s="1"/>
      <c r="B23" s="102" t="s">
        <v>89</v>
      </c>
      <c r="C23" s="103"/>
      <c r="D23" s="103"/>
      <c r="E23" s="55"/>
      <c r="F23" s="55"/>
      <c r="G23" s="1"/>
    </row>
    <row r="24" spans="1:7" ht="14.25" customHeight="1" x14ac:dyDescent="0.25">
      <c r="A24" s="1"/>
      <c r="B24" s="90" t="s">
        <v>85</v>
      </c>
      <c r="C24" s="91"/>
      <c r="D24" s="92"/>
      <c r="E24" s="9">
        <v>0</v>
      </c>
      <c r="F24" s="8" t="s">
        <v>3</v>
      </c>
      <c r="G24" s="1"/>
    </row>
    <row r="25" spans="1:7" ht="14.25" customHeight="1" x14ac:dyDescent="0.25">
      <c r="A25" s="1"/>
      <c r="B25" s="90" t="s">
        <v>86</v>
      </c>
      <c r="C25" s="91"/>
      <c r="D25" s="92"/>
      <c r="E25" s="9">
        <v>0</v>
      </c>
      <c r="F25" s="8" t="s">
        <v>3</v>
      </c>
      <c r="G25" s="1"/>
    </row>
    <row r="26" spans="1:7" x14ac:dyDescent="0.25">
      <c r="A26" s="1"/>
      <c r="B26" s="99" t="s">
        <v>90</v>
      </c>
      <c r="C26" s="100"/>
      <c r="D26" s="100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99" t="s">
        <v>162</v>
      </c>
      <c r="C28" s="100"/>
      <c r="D28" s="101"/>
      <c r="E28" s="10">
        <v>0</v>
      </c>
      <c r="F28" s="11" t="s">
        <v>3</v>
      </c>
      <c r="G28" s="1"/>
    </row>
    <row r="29" spans="1:7" x14ac:dyDescent="0.25">
      <c r="A29" s="1"/>
      <c r="B29" s="54" t="s">
        <v>245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4" t="s">
        <v>246</v>
      </c>
      <c r="C30" s="105"/>
      <c r="D30" s="106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17084030.888261236</v>
      </c>
      <c r="F31" s="13" t="s">
        <v>3</v>
      </c>
      <c r="G31" s="1"/>
    </row>
    <row r="32" spans="1:7" ht="27.75" customHeight="1" x14ac:dyDescent="0.25">
      <c r="A32" s="1"/>
      <c r="B32" s="90" t="s">
        <v>191</v>
      </c>
      <c r="C32" s="91"/>
      <c r="D32" s="91"/>
      <c r="E32" s="91"/>
      <c r="F32" s="9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zEvLZyw37ZJOCDRrQjdSLnkB0Y4UY7QjopYDvyDKwDaiY+M82tSNSKpqPl3nQNmEUdovowuN+oZjEJnXIvKkQ==" saltValue="T0I3qO3cCQ3jH95YsiKqs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115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54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43</v>
      </c>
      <c r="C5" s="112"/>
      <c r="D5" s="112"/>
      <c r="E5" s="112"/>
      <c r="F5" s="113"/>
      <c r="G5" s="24">
        <v>6519215.3240284035</v>
      </c>
      <c r="H5" s="14" t="s">
        <v>3</v>
      </c>
      <c r="I5" s="1"/>
    </row>
    <row r="6" spans="1:9" x14ac:dyDescent="0.25">
      <c r="A6" s="1"/>
      <c r="B6" s="111" t="s">
        <v>44</v>
      </c>
      <c r="C6" s="112"/>
      <c r="D6" s="112"/>
      <c r="E6" s="112"/>
      <c r="F6" s="113"/>
      <c r="G6" s="24">
        <f>G5*'Fane 12. Nøgletal'!C29</f>
        <v>130384.30648056808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55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45</v>
      </c>
      <c r="C10" s="112"/>
      <c r="D10" s="112"/>
      <c r="E10" s="112"/>
      <c r="F10" s="113"/>
      <c r="G10" s="24">
        <f>(G5-G6)*(1+'Fane 12. Nøgletal'!C9)</f>
        <v>6469969.1714706924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1" t="s">
        <v>47</v>
      </c>
      <c r="C12" s="112"/>
      <c r="D12" s="112"/>
      <c r="E12" s="112"/>
      <c r="F12" s="113"/>
      <c r="G12" s="24">
        <f>(G10+G11)*'Fane 12. Nøgletal'!C29</f>
        <v>129399.38342941385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56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48</v>
      </c>
      <c r="C16" s="112"/>
      <c r="D16" s="112"/>
      <c r="E16" s="112"/>
      <c r="F16" s="113"/>
      <c r="G16" s="24">
        <f>(G10+G11-G12)*(1+'Fane 12. Nøgletal'!C11)</f>
        <v>6447725.4174591759</v>
      </c>
      <c r="H16" s="14" t="s">
        <v>3</v>
      </c>
      <c r="I16" s="1"/>
    </row>
    <row r="17" spans="1:9" x14ac:dyDescent="0.25">
      <c r="A17" s="1"/>
      <c r="B17" s="111" t="s">
        <v>125</v>
      </c>
      <c r="C17" s="112"/>
      <c r="D17" s="112"/>
      <c r="E17" s="112"/>
      <c r="F17" s="113"/>
      <c r="G17" s="42">
        <v>0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42">
        <v>0</v>
      </c>
      <c r="H18" s="14" t="s">
        <v>3</v>
      </c>
      <c r="I18" s="1"/>
    </row>
    <row r="19" spans="1:9" x14ac:dyDescent="0.25">
      <c r="A19" s="1"/>
      <c r="B19" s="111" t="s">
        <v>50</v>
      </c>
      <c r="C19" s="112"/>
      <c r="D19" s="112"/>
      <c r="E19" s="112"/>
      <c r="F19" s="113"/>
      <c r="G19" s="24">
        <f>SUM(G16:G18)*'Fane 12. Nøgletal'!C29</f>
        <v>128954.50834918352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57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51</v>
      </c>
      <c r="C23" s="112"/>
      <c r="D23" s="112"/>
      <c r="E23" s="112"/>
      <c r="F23" s="113"/>
      <c r="G23" s="24">
        <f>(SUM(G16:G18)-G19)*(1+'Fane 12. Nøgletal'!C11)</f>
        <v>6425558.1374739502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25">
      <c r="A25" s="1"/>
      <c r="B25" s="111" t="s">
        <v>53</v>
      </c>
      <c r="C25" s="112"/>
      <c r="D25" s="112"/>
      <c r="E25" s="112"/>
      <c r="F25" s="113"/>
      <c r="G25" s="24">
        <f>(G23+G24)*'Fane 12. Nøgletal'!C29</f>
        <v>128511.162749479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175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60</v>
      </c>
      <c r="C29" s="112"/>
      <c r="D29" s="112"/>
      <c r="E29" s="112"/>
      <c r="F29" s="113"/>
      <c r="G29" s="24">
        <f>(G23+G24-G25)*(1+'Fane 12. Nøgletal'!C13)</f>
        <v>6373870.9478161102</v>
      </c>
      <c r="H29" s="14" t="s">
        <v>3</v>
      </c>
      <c r="I29" s="1"/>
    </row>
    <row r="30" spans="1:9" x14ac:dyDescent="0.25">
      <c r="A30" s="1"/>
      <c r="B30" s="111" t="s">
        <v>147</v>
      </c>
      <c r="C30" s="112"/>
      <c r="D30" s="112"/>
      <c r="E30" s="112"/>
      <c r="F30" s="113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1" t="s">
        <v>159</v>
      </c>
      <c r="C31" s="112"/>
      <c r="D31" s="112"/>
      <c r="E31" s="112"/>
      <c r="F31" s="113"/>
      <c r="G31" s="24">
        <f>(G29+G30)*'Fane 12. Nøgletal'!C29</f>
        <v>127477.4189563222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176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80</v>
      </c>
      <c r="C35" s="112"/>
      <c r="D35" s="112"/>
      <c r="E35" s="112"/>
      <c r="F35" s="113"/>
      <c r="G35" s="24">
        <f>(G29+G30-G31)*(1+'Fane 12. Nøgletal'!C13)</f>
        <v>6322599.5299118767</v>
      </c>
      <c r="H35" s="14" t="s">
        <v>3</v>
      </c>
      <c r="I35" s="1"/>
    </row>
    <row r="36" spans="1:9" x14ac:dyDescent="0.25">
      <c r="A36" s="1"/>
      <c r="B36" s="37" t="s">
        <v>192</v>
      </c>
      <c r="C36" s="60"/>
      <c r="D36" s="60"/>
      <c r="E36" s="60"/>
      <c r="F36" s="61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1" t="s">
        <v>221</v>
      </c>
      <c r="C37" s="112"/>
      <c r="D37" s="112"/>
      <c r="E37" s="112"/>
      <c r="F37" s="113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1" t="s">
        <v>177</v>
      </c>
      <c r="C38" s="112"/>
      <c r="D38" s="112"/>
      <c r="E38" s="112"/>
      <c r="F38" s="113"/>
      <c r="G38" s="24">
        <f>(G35+G37)*'Fane 12. Nøgletal'!C29</f>
        <v>126451.99059823753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81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79</v>
      </c>
      <c r="C42" s="112"/>
      <c r="D42" s="112"/>
      <c r="E42" s="112"/>
      <c r="F42" s="113"/>
      <c r="G42" s="24">
        <f>(G35+G37-G38)*(1+'Fane 12. Nøgletal'!C14)</f>
        <v>6216594.8261933746</v>
      </c>
      <c r="H42" s="14" t="s">
        <v>3</v>
      </c>
      <c r="I42" s="1"/>
    </row>
    <row r="43" spans="1:9" x14ac:dyDescent="0.25">
      <c r="A43" s="1"/>
      <c r="B43" s="111" t="s">
        <v>92</v>
      </c>
      <c r="C43" s="112"/>
      <c r="D43" s="112"/>
      <c r="E43" s="112"/>
      <c r="F43" s="113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1" t="s">
        <v>61</v>
      </c>
      <c r="C44" s="112"/>
      <c r="D44" s="112"/>
      <c r="E44" s="112"/>
      <c r="F44" s="113"/>
      <c r="G44" s="24">
        <f>(G42+G43)*'Fane 12. Nøgletal'!C29</f>
        <v>124331.8965238675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148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149</v>
      </c>
      <c r="C48" s="112"/>
      <c r="D48" s="112"/>
      <c r="E48" s="112"/>
      <c r="F48" s="113"/>
      <c r="G48" s="24">
        <f>(G42+G43-G44)*(1+'Fane 12. Nøgletal'!C14)</f>
        <v>6112367.3973374171</v>
      </c>
      <c r="H48" s="14" t="s">
        <v>3</v>
      </c>
      <c r="I48" s="1"/>
    </row>
    <row r="49" spans="1:9" x14ac:dyDescent="0.25">
      <c r="A49" s="1"/>
      <c r="B49" s="111" t="s">
        <v>150</v>
      </c>
      <c r="C49" s="112"/>
      <c r="D49" s="112"/>
      <c r="E49" s="112"/>
      <c r="F49" s="113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1" t="s">
        <v>151</v>
      </c>
      <c r="C50" s="112"/>
      <c r="D50" s="112"/>
      <c r="E50" s="112"/>
      <c r="F50" s="113"/>
      <c r="G50" s="24">
        <f>(G48+G49)*'Fane 12. Nøgletal'!C29</f>
        <v>122247.34794674834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198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199</v>
      </c>
      <c r="C54" s="112"/>
      <c r="D54" s="112"/>
      <c r="E54" s="112"/>
      <c r="F54" s="113"/>
      <c r="G54" s="24">
        <f>(G48+G49-G50)*(1+'Fane 12. Nøgletal'!C14)</f>
        <v>6009887.4455536585</v>
      </c>
      <c r="H54" s="14" t="s">
        <v>3</v>
      </c>
      <c r="I54" s="1"/>
    </row>
    <row r="55" spans="1:9" x14ac:dyDescent="0.25">
      <c r="A55" s="1"/>
      <c r="B55" s="111" t="s">
        <v>200</v>
      </c>
      <c r="C55" s="112"/>
      <c r="D55" s="112"/>
      <c r="E55" s="112"/>
      <c r="F55" s="113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1" t="s">
        <v>201</v>
      </c>
      <c r="C56" s="112"/>
      <c r="D56" s="112"/>
      <c r="E56" s="112"/>
      <c r="F56" s="113"/>
      <c r="G56" s="24">
        <f>(G54+G55)*'Fane 12. Nøgletal'!C29</f>
        <v>120197.74891107317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P4YFLfLIIZq17kuA632C7bxsRd/IQKsK80WznVvbideW4W8VXtsF9iUG5ZPQenkx0+n8dsoSJDO0isX5XY7Ebg==" saltValue="rXAEMFpPsozVrem3Ge7+v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4" t="s">
        <v>58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62</v>
      </c>
      <c r="C5" s="112"/>
      <c r="D5" s="112"/>
      <c r="E5" s="112"/>
      <c r="F5" s="113"/>
      <c r="G5" s="24">
        <v>4934732.160847106</v>
      </c>
      <c r="H5" s="14" t="s">
        <v>3</v>
      </c>
      <c r="I5" s="1"/>
    </row>
    <row r="6" spans="1:9" x14ac:dyDescent="0.25">
      <c r="A6" s="1"/>
      <c r="B6" s="111" t="s">
        <v>59</v>
      </c>
      <c r="C6" s="112"/>
      <c r="D6" s="112"/>
      <c r="E6" s="112"/>
      <c r="F6" s="113"/>
      <c r="G6" s="24">
        <f>G5*'Fane 12. Nøgletal'!C19</f>
        <v>44906.062663708668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63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3"/>
      <c r="G10" s="24">
        <f>(G5-G6)*(1+'Fane 12. Nøgletal'!C9)</f>
        <v>4951926.8896303261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1" t="s">
        <v>66</v>
      </c>
      <c r="C12" s="112"/>
      <c r="D12" s="112"/>
      <c r="E12" s="112"/>
      <c r="F12" s="113"/>
      <c r="G12" s="24">
        <f>G10*'Fane 12. Nøgletal'!C19+G11*'Fane 12. Nøgletal'!C20</f>
        <v>45062.534695635972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67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3"/>
      <c r="G16" s="24">
        <f>(G10+G11-G12)*(1+'Fane 12. Nøgletal'!C11)</f>
        <v>4989790.362533086</v>
      </c>
      <c r="H16" s="14" t="s">
        <v>3</v>
      </c>
      <c r="I16" s="1"/>
    </row>
    <row r="17" spans="1:9" x14ac:dyDescent="0.25">
      <c r="A17" s="1"/>
      <c r="B17" s="111" t="s">
        <v>126</v>
      </c>
      <c r="C17" s="112"/>
      <c r="D17" s="112"/>
      <c r="E17" s="112"/>
      <c r="F17" s="113"/>
      <c r="G17" s="24">
        <v>191252.02361122437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42">
        <v>0</v>
      </c>
      <c r="H18" s="14" t="s">
        <v>3</v>
      </c>
      <c r="I18" s="1"/>
    </row>
    <row r="19" spans="1:9" x14ac:dyDescent="0.25">
      <c r="A19" s="1"/>
      <c r="B19" s="111" t="s">
        <v>70</v>
      </c>
      <c r="C19" s="112"/>
      <c r="D19" s="112"/>
      <c r="E19" s="112"/>
      <c r="F19" s="113"/>
      <c r="G19" s="24">
        <f>(G16+G17+G18)*'Fane 12. Nøgletal'!C21</f>
        <v>45075.068759455498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71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3"/>
      <c r="G23" s="24">
        <f>(SUM(G16:G18)-G19)*(1+'Fane 12. Nøgletal'!C11)</f>
        <v>5222765.1650486588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25">
      <c r="A25" s="1"/>
      <c r="B25" s="111" t="s">
        <v>74</v>
      </c>
      <c r="C25" s="112"/>
      <c r="D25" s="112"/>
      <c r="E25" s="112"/>
      <c r="F25" s="113"/>
      <c r="G25" s="24">
        <f>G23*'Fane 12. Nøgletal'!C21+G24*'Fane 12. Nøgletal'!C22</f>
        <v>45438.056935923327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173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75</v>
      </c>
      <c r="C29" s="112"/>
      <c r="D29" s="112"/>
      <c r="E29" s="112"/>
      <c r="F29" s="113"/>
      <c r="G29" s="24">
        <f>(G23+G24-G25)*(1+'Fane 12. Nøgletal'!C13)</f>
        <v>5240490.4988317108</v>
      </c>
      <c r="H29" s="14" t="s">
        <v>3</v>
      </c>
      <c r="I29" s="1"/>
    </row>
    <row r="30" spans="1:9" x14ac:dyDescent="0.25">
      <c r="A30" s="1"/>
      <c r="B30" s="111" t="s">
        <v>152</v>
      </c>
      <c r="C30" s="112"/>
      <c r="D30" s="112"/>
      <c r="E30" s="112"/>
      <c r="F30" s="113"/>
      <c r="G30" s="42">
        <v>0</v>
      </c>
      <c r="H30" s="14" t="s">
        <v>3</v>
      </c>
      <c r="I30" s="1"/>
    </row>
    <row r="31" spans="1:9" x14ac:dyDescent="0.25">
      <c r="A31" s="1"/>
      <c r="B31" s="111" t="s">
        <v>174</v>
      </c>
      <c r="C31" s="112"/>
      <c r="D31" s="112"/>
      <c r="E31" s="112"/>
      <c r="F31" s="113"/>
      <c r="G31" s="24">
        <f>(G29+G30)*'Fane 12. Nøgletal'!C23</f>
        <v>144113.48871787204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178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78</v>
      </c>
      <c r="C35" s="112"/>
      <c r="D35" s="112"/>
      <c r="E35" s="112"/>
      <c r="F35" s="113"/>
      <c r="G35" s="24">
        <f>(G29+G30-G31)*(1+'Fane 12. Nøgletal'!C13)</f>
        <v>5158552.809637228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1" t="s">
        <v>193</v>
      </c>
      <c r="C37" s="112"/>
      <c r="D37" s="112"/>
      <c r="E37" s="112"/>
      <c r="F37" s="113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1" t="s">
        <v>179</v>
      </c>
      <c r="C38" s="112"/>
      <c r="D38" s="112"/>
      <c r="E38" s="112"/>
      <c r="F38" s="113"/>
      <c r="G38" s="24">
        <f>G35*'Fane 12. Nøgletal'!C23+G37*'Fane 12. Nøgletal'!C24</f>
        <v>141860.20226502378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82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77</v>
      </c>
      <c r="C42" s="112"/>
      <c r="D42" s="112"/>
      <c r="E42" s="112"/>
      <c r="F42" s="113"/>
      <c r="G42" s="24">
        <f>(G35+G37-G38)*(1+'Fane 12. Nøgletal'!C14)</f>
        <v>5033247.6929765325</v>
      </c>
      <c r="H42" s="14" t="s">
        <v>3</v>
      </c>
      <c r="I42" s="1"/>
    </row>
    <row r="43" spans="1:9" x14ac:dyDescent="0.25">
      <c r="A43" s="1"/>
      <c r="B43" s="111" t="s">
        <v>96</v>
      </c>
      <c r="C43" s="112"/>
      <c r="D43" s="112"/>
      <c r="E43" s="112"/>
      <c r="F43" s="113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1" t="s">
        <v>76</v>
      </c>
      <c r="C44" s="112"/>
      <c r="D44" s="112"/>
      <c r="E44" s="112"/>
      <c r="F44" s="113"/>
      <c r="G44" s="24">
        <f>(G42+G43)*'Fane 12. Nøgletal'!C24</f>
        <v>74492.065856052679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153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154</v>
      </c>
      <c r="C48" s="112"/>
      <c r="D48" s="112"/>
      <c r="E48" s="112"/>
      <c r="F48" s="113"/>
      <c r="G48" s="24">
        <f>(G42+G43-G44)*(1+'Fane 12. Nøgletal'!C14)</f>
        <v>4975119.5206899783</v>
      </c>
      <c r="H48" s="14" t="s">
        <v>3</v>
      </c>
      <c r="I48" s="1"/>
    </row>
    <row r="49" spans="1:9" x14ac:dyDescent="0.25">
      <c r="A49" s="1"/>
      <c r="B49" s="111" t="s">
        <v>155</v>
      </c>
      <c r="C49" s="112"/>
      <c r="D49" s="112"/>
      <c r="E49" s="112"/>
      <c r="F49" s="113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1" t="s">
        <v>156</v>
      </c>
      <c r="C50" s="112"/>
      <c r="D50" s="112"/>
      <c r="E50" s="112"/>
      <c r="F50" s="113"/>
      <c r="G50" s="24">
        <f>(G48+G49)*'Fane 12. Nøgletal'!C24</f>
        <v>73631.768906211684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194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195</v>
      </c>
      <c r="C54" s="112"/>
      <c r="D54" s="112"/>
      <c r="E54" s="112"/>
      <c r="F54" s="113"/>
      <c r="G54" s="24">
        <f>(G48+G49-G50)*(1+'Fane 12. Nøgletal'!C14)</f>
        <v>4917662.6613646531</v>
      </c>
      <c r="H54" s="14" t="s">
        <v>3</v>
      </c>
      <c r="I54" s="1"/>
    </row>
    <row r="55" spans="1:9" x14ac:dyDescent="0.25">
      <c r="A55" s="1"/>
      <c r="B55" s="111" t="s">
        <v>196</v>
      </c>
      <c r="C55" s="112"/>
      <c r="D55" s="112"/>
      <c r="E55" s="112"/>
      <c r="F55" s="113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1" t="s">
        <v>197</v>
      </c>
      <c r="C56" s="112"/>
      <c r="D56" s="112"/>
      <c r="E56" s="112"/>
      <c r="F56" s="113"/>
      <c r="G56" s="24">
        <f>(G54+G55)*'Fane 12. Nøgletal'!C24</f>
        <v>72781.407388196865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170Zujf7Vw4tmGn6grk2i5QvSsE8h9ukAyeAAr4ulIL7TwkmRBF8J1D8Fuwk7hwLb1aEh6NvEME/E+UMeo4cZA==" saltValue="XUCtC3MO+Kz3VSKOxurS1w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9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11" t="s">
        <v>105</v>
      </c>
      <c r="C9" s="112"/>
      <c r="D9" s="112"/>
      <c r="E9" s="112"/>
      <c r="F9" s="113"/>
      <c r="G9" s="44">
        <v>1.2668733641068571E-2</v>
      </c>
      <c r="H9" s="14"/>
      <c r="I9" s="1"/>
    </row>
    <row r="10" spans="1:9" x14ac:dyDescent="0.25">
      <c r="A10" s="1"/>
      <c r="B10" s="111" t="s">
        <v>141</v>
      </c>
      <c r="C10" s="112"/>
      <c r="D10" s="112"/>
      <c r="E10" s="112"/>
      <c r="F10" s="113"/>
      <c r="G10" s="44">
        <v>3.8513939314589697E-3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n95EVPaFqYLFHyeyOnNORy3P/zuFnyQCKjH/OkxdDwAYKpr82GxFikSyA5TAxRpCnt0//Ng7TxdYwpWQ+FhZA==" saltValue="H6GcqOUisvykhSXy4I5ib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2021-09-07T12:22:25Z</dcterms:modified>
</cp:coreProperties>
</file>