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Biofos Spildevandscenter Avedøre AS (S009)\ØR2027\"/>
    </mc:Choice>
  </mc:AlternateContent>
  <xr:revisionPtr revIDLastSave="0" documentId="13_ncr:1_{8BA785D3-EB65-41A1-8C17-70E6EDA99709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10-tillæg'!$B$9:$B$14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Drik">'5.1. § 10-tillæg'!$B$23:$D$23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C14" i="7" s="1"/>
  <c r="E13" i="8"/>
  <c r="C13" i="7" s="1"/>
  <c r="E12" i="8"/>
  <c r="E11" i="8"/>
  <c r="C11" i="7" s="1"/>
  <c r="E10" i="8"/>
  <c r="C10" i="7" s="1"/>
  <c r="E9" i="8"/>
  <c r="C9" i="7" s="1"/>
  <c r="C25" i="7"/>
  <c r="C18" i="3" s="1"/>
  <c r="C16" i="6"/>
  <c r="C16" i="12" l="1"/>
  <c r="C20" i="3" s="1"/>
  <c r="C12" i="3"/>
  <c r="C12" i="11"/>
  <c r="C19" i="3" s="1"/>
  <c r="C13" i="3"/>
  <c r="C12" i="7"/>
  <c r="C20" i="7" s="1"/>
  <c r="C11" i="4" s="1"/>
  <c r="C12" i="4" s="1"/>
  <c r="C15" i="4" s="1"/>
  <c r="C19" i="4" s="1"/>
  <c r="C24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<sst xmlns="http://schemas.openxmlformats.org/spreadsheetml/2006/main" count="336" uniqueCount="156">
  <si>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</si>
  <si>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</si>
  <si>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</si>
  <si>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</si>
  <si>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</si>
  <si>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</si>
  <si>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</si>
  <si>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</si>
  <si>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</si>
  <si>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</si>
  <si>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</si>
  <si>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</si>
  <si>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</si>
  <si>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</si>
  <si>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</si>
  <si>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</si>
  <si>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</si>
  <si>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</si>
  <si>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</si>
  <si>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</si>
  <si>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</si>
  <si>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</si>
  <si>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</si>
  <si>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</si>
  <si>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</si>
  <si>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</si>
  <si>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</si>
  <si>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</si>
  <si>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</si>
  <si>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</si>
  <si>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</si>
  <si>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</si>
  <si>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</si>
  <si>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</si>
  <si>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</si>
  <si>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</si>
  <si>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</si>
  <si>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</si>
  <si>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</si>
  <si>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</si>
  <si>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</si>
  <si>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</si>
  <si>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</si>
  <si>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</si>
  <si>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</si>
  <si>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</si>
  <si>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</si>
  <si>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</si>
  <si>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</si>
  <si>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</si>
  <si>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</si>
  <si>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</si>
  <si>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</si>
  <si>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</si>
  <si>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</si>
  <si>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</si>
  <si>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</si>
  <si>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</si>
  <si>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</si>
  <si>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</si>
  <si>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</si>
  <si>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</si>
  <si>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</si>
  <si>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</si>
  <si>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</si>
  <si>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</si>
  <si>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</si>
  <si>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</si>
  <si>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</si>
  <si>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</si>
  <si>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</si>
  <si>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</si>
  <si>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</si>
  <si>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</si>
  <si>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</si>
  <si>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</si>
  <si>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</si>
  <si>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</si>
  <si>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</si>
  <si>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</si>
  <si>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</si>
  <si>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</si>
  <si>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</si>
  <si>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</si>
  <si>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</si>
  <si>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</si>
  <si>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</si>
  <si>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</si>
  <si>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</si>
  <si>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</si>
  <si>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</si>
  <si>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</si>
  <si>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</si>
  <si>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</si>
  <si>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</si>
  <si>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</si>
  <si>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</si>
  <si>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</si>
  <si>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</si>
  <si>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</si>
  <si>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</si>
  <si>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</si>
  <si>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</si>
  <si>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</si>
  <si>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</si>
  <si>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</si>
  <si>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</si>
  <si>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</si>
  <si>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</si>
  <si>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</si>
  <si>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</si>
  <si>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</si>
  <si>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</si>
  <si>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</si>
  <si>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</si>
  <si>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</si>
  <si>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</si>
  <si>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</si>
  <si>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</si>
  <si>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</si>
  <si>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</si>
  <si>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</si>
  <si>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</si>
  <si>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</si>
  <si>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</si>
  <si>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</si>
  <si>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</si>
  <si>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</si>
  <si>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</si>
  <si>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</si>
  <si>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</si>
  <si>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</si>
  <si>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</si>
  <si>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</si>
  <si>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</si>
  <si>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</si>
  <si>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Økonomisk ramme for </t>
  </si>
  <si>
    <t xml:space="preserve">Note: Denne opgørelse er taget fra jeres økonomiske ramme for 2026. 
I kan derfor ikke komme med høringssvar til denne opgørelse. </t>
  </si>
  <si>
    <t>Spildevandsafgift</t>
  </si>
  <si>
    <t>Afgift Vandsektortilsynet</t>
  </si>
  <si>
    <t>Køb af ydelser og produkter fra andre vandselskaber reguleret af vandsektorloven</t>
  </si>
  <si>
    <t>Ejendomsskatter</t>
  </si>
  <si>
    <t>Tjenestemandspensioner</t>
  </si>
  <si>
    <t>Øvrige afgifter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</si>
  <si>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</si>
  <si>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</si>
  <si>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</si>
  <si>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</si>
  <si>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</si>
  <si>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</si>
  <si>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</si>
  <si>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</si>
  <si>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Gebyr til Miljøstyrelsen</t>
  </si>
  <si>
    <t>CSRD</t>
  </si>
  <si>
    <t>Øget indbyggertal</t>
  </si>
  <si>
    <t>Elomkostninger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</si>
</sst>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c77/CHbVCBfW0tygUVDjuH59jOG3gOO1y90r0EaBcw9FevWyl2wS6gcpg9rVhIJGY7Uxg0I3o4pVW5yi6GuSwg==" saltValue="+9luSmxunodUXDS6r0TQdA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131870381.35474335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11305865.659373095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-151095.32670005204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-1556473.4605367477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4088444.8007568209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145557123.02763644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-1572180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143984943.02763644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MGjXq/IaFDrSFszbFYpoNAGa0XvmY+xg8oIuMk7hKFtJFmcmYSTrnyaXxtAf9jXWYTlHhplfMb8ss72UqJ1Amg==" saltValue="9GLgk3f+qRIO4TkygGExWg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150363979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305933.58258271363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14727230.547776405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165397143.13035911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157707367.99000001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7689775.1403591037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909917</v>
      </c>
      <c r="D18" s="46" t="s">
        <v>31</v>
      </c>
      <c r="E18" s="11"/>
    </row>
    <row r="19" spans="1:5" ht="15" customHeight="1" x14ac:dyDescent="0.25">
      <c r="A19" s="11"/>
      <c r="B19" s="25" t="s">
        <v>145</v>
      </c>
      <c r="C19" s="41">
        <f>C15+C18</f>
        <v>8599692.1403591037</v>
      </c>
      <c r="D19" s="27" t="s">
        <v>31</v>
      </c>
      <c r="E19" s="11"/>
    </row>
    <row r="20" spans="1:5" ht="40.5" customHeight="1" x14ac:dyDescent="0.25">
      <c r="A20" s="11"/>
      <c r="B20" s="49" t="s">
        <v>146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147</v>
      </c>
      <c r="C22" s="26"/>
      <c r="D22" s="27"/>
      <c r="E22" s="11"/>
    </row>
    <row r="23" spans="1:5" ht="26.25" x14ac:dyDescent="0.25">
      <c r="A23" s="11"/>
      <c r="B23" s="52" t="s">
        <v>148</v>
      </c>
      <c r="C23" s="53">
        <f>100*909917/(141787823+8456254)</f>
        <v>0.60562587102851317</v>
      </c>
      <c r="D23" s="46" t="s">
        <v>149</v>
      </c>
      <c r="E23" s="11"/>
    </row>
    <row r="24" spans="1:5" ht="26.25" x14ac:dyDescent="0.25">
      <c r="A24" s="11"/>
      <c r="B24" s="52" t="s">
        <v>150</v>
      </c>
      <c r="C24" s="53">
        <f>C19/C12*100</f>
        <v>5.1994200006110054</v>
      </c>
      <c r="D24" s="46" t="s">
        <v>149</v>
      </c>
      <c r="E24" s="11"/>
    </row>
    <row r="25" spans="1:5" ht="56.25" customHeight="1" x14ac:dyDescent="0.25">
      <c r="A25" s="11"/>
      <c r="B25" s="54" t="s">
        <v>151</v>
      </c>
      <c r="C25" s="55"/>
      <c r="D25" s="56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WRQYhzirbgUwj96Cgv+HsURtQjWWlsuNwADPiHMymDdwEUcZ/ODQxDyee/s7iBsUYwa/5MAY21HNfbRv3R2I+g==" saltValue="P24gzz2KV23eWBdnaOC/aA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7"/>
      <c r="B1" s="57"/>
      <c r="C1" s="57"/>
      <c r="D1" s="57"/>
      <c r="E1" s="57"/>
    </row>
    <row r="2" spans="1:5" ht="15" customHeight="1" x14ac:dyDescent="0.25">
      <c r="A2" s="57"/>
      <c r="B2" s="57"/>
      <c r="C2" s="57"/>
      <c r="D2" s="57"/>
      <c r="E2" s="57"/>
    </row>
    <row r="3" spans="1:5" ht="24.95" customHeight="1" x14ac:dyDescent="0.25">
      <c r="A3" s="57"/>
      <c r="B3" s="58" t="s">
        <v>87</v>
      </c>
      <c r="C3" s="58"/>
      <c r="D3" s="58"/>
      <c r="E3" s="57"/>
    </row>
    <row r="4" spans="1:5" ht="15" customHeight="1" x14ac:dyDescent="0.25">
      <c r="A4" s="57"/>
      <c r="B4" s="58"/>
      <c r="C4" s="58"/>
      <c r="D4" s="58"/>
      <c r="E4" s="57"/>
    </row>
    <row r="5" spans="1:5" ht="15" customHeight="1" x14ac:dyDescent="0.25">
      <c r="A5" s="57"/>
      <c r="B5" s="58"/>
      <c r="C5" s="58"/>
      <c r="D5" s="58"/>
      <c r="E5" s="57"/>
    </row>
    <row r="6" spans="1:5" ht="15" customHeight="1" x14ac:dyDescent="0.25">
      <c r="A6" s="57"/>
      <c r="B6" s="57"/>
      <c r="C6" s="57"/>
      <c r="D6" s="57"/>
      <c r="E6" s="57"/>
    </row>
    <row r="7" spans="1:5" ht="15" customHeight="1" x14ac:dyDescent="0.25">
      <c r="A7" s="57"/>
      <c r="B7" s="57"/>
      <c r="C7" s="57"/>
      <c r="D7" s="57"/>
      <c r="E7" s="57"/>
    </row>
    <row r="8" spans="1:5" ht="15" customHeight="1" x14ac:dyDescent="0.25">
      <c r="A8" s="57"/>
      <c r="B8" s="59" t="s">
        <v>135</v>
      </c>
      <c r="C8" s="60"/>
      <c r="D8" s="61"/>
      <c r="E8" s="57"/>
    </row>
    <row r="9" spans="1:5" ht="15" customHeight="1" x14ac:dyDescent="0.25">
      <c r="A9" s="57"/>
      <c r="B9" s="62" t="s">
        <v>122</v>
      </c>
      <c r="C9" s="63">
        <v>129316365.85105346</v>
      </c>
      <c r="D9" s="64" t="s">
        <v>31</v>
      </c>
      <c r="E9" s="57"/>
    </row>
    <row r="10" spans="1:5" ht="15" customHeight="1" x14ac:dyDescent="0.25">
      <c r="A10" s="57"/>
      <c r="B10" s="65" t="s">
        <v>32</v>
      </c>
      <c r="C10" s="63">
        <v>305933.58258271363</v>
      </c>
      <c r="D10" s="64" t="s">
        <v>31</v>
      </c>
      <c r="E10" s="57"/>
    </row>
    <row r="11" spans="1:5" ht="15" customHeight="1" x14ac:dyDescent="0.25">
      <c r="A11" s="57"/>
      <c r="B11" s="65" t="s">
        <v>62</v>
      </c>
      <c r="C11" s="66">
        <v>0</v>
      </c>
      <c r="D11" s="64" t="s">
        <v>31</v>
      </c>
      <c r="E11" s="57"/>
    </row>
    <row r="12" spans="1:5" ht="15" customHeight="1" x14ac:dyDescent="0.25">
      <c r="A12" s="57"/>
      <c r="B12" s="65" t="s">
        <v>24</v>
      </c>
      <c r="C12" s="67">
        <v>0</v>
      </c>
      <c r="D12" s="64" t="s">
        <v>31</v>
      </c>
      <c r="E12" s="57"/>
    </row>
    <row r="13" spans="1:5" ht="15" customHeight="1" x14ac:dyDescent="0.25">
      <c r="A13" s="57"/>
      <c r="B13" s="65" t="s">
        <v>34</v>
      </c>
      <c r="C13" s="67">
        <v>0</v>
      </c>
      <c r="D13" s="64" t="s">
        <v>31</v>
      </c>
      <c r="E13" s="57"/>
    </row>
    <row r="14" spans="1:5" ht="15" customHeight="1" x14ac:dyDescent="0.25">
      <c r="A14" s="57"/>
      <c r="B14" s="65" t="s">
        <v>35</v>
      </c>
      <c r="C14" s="68">
        <v>-136791.71014034376</v>
      </c>
      <c r="D14" s="64" t="s">
        <v>31</v>
      </c>
      <c r="E14" s="57"/>
    </row>
    <row r="15" spans="1:5" ht="15" customHeight="1" x14ac:dyDescent="0.25">
      <c r="A15" s="57"/>
      <c r="B15" s="65" t="s">
        <v>36</v>
      </c>
      <c r="C15" s="68">
        <v>-1319134.55336913</v>
      </c>
      <c r="D15" s="64" t="s">
        <v>31</v>
      </c>
      <c r="E15" s="57"/>
    </row>
    <row r="16" spans="1:5" ht="15" customHeight="1" x14ac:dyDescent="0.25">
      <c r="A16" s="57"/>
      <c r="B16" s="65" t="s">
        <v>37</v>
      </c>
      <c r="C16" s="67">
        <v>3704008.1846166612</v>
      </c>
      <c r="D16" s="64" t="s">
        <v>31</v>
      </c>
      <c r="E16" s="57"/>
    </row>
    <row r="17" spans="1:5" ht="15" customHeight="1" x14ac:dyDescent="0.25">
      <c r="A17" s="57"/>
      <c r="B17" s="69" t="s">
        <v>38</v>
      </c>
      <c r="C17" s="70">
        <v>131870381.35474335</v>
      </c>
      <c r="D17" s="71" t="s">
        <v>31</v>
      </c>
      <c r="E17" s="57"/>
    </row>
    <row r="18" spans="1:5" ht="15" customHeight="1" x14ac:dyDescent="0.25">
      <c r="A18" s="57"/>
      <c r="B18" s="72" t="s">
        <v>123</v>
      </c>
      <c r="C18" s="68">
        <v>0</v>
      </c>
      <c r="D18" s="73" t="s">
        <v>31</v>
      </c>
      <c r="E18" s="57"/>
    </row>
    <row r="19" spans="1:5" ht="27" customHeight="1" x14ac:dyDescent="0.25">
      <c r="A19" s="57"/>
      <c r="B19" s="74" t="s">
        <v>40</v>
      </c>
      <c r="C19" s="68">
        <v>0</v>
      </c>
      <c r="D19" s="73" t="s">
        <v>31</v>
      </c>
      <c r="E19" s="57"/>
    </row>
    <row r="20" spans="1:5" ht="15" customHeight="1" x14ac:dyDescent="0.25">
      <c r="A20" s="57"/>
      <c r="B20" s="75" t="s">
        <v>41</v>
      </c>
      <c r="C20" s="76">
        <v>0</v>
      </c>
      <c r="D20" s="77" t="s">
        <v>31</v>
      </c>
      <c r="E20" s="57"/>
    </row>
    <row r="21" spans="1:5" ht="15" customHeight="1" x14ac:dyDescent="0.25">
      <c r="A21" s="57"/>
      <c r="B21" s="62" t="s">
        <v>124</v>
      </c>
      <c r="C21" s="68">
        <v>0</v>
      </c>
      <c r="D21" s="73" t="s">
        <v>31</v>
      </c>
      <c r="E21" s="57"/>
    </row>
    <row r="22" spans="1:5" ht="15" customHeight="1" x14ac:dyDescent="0.25">
      <c r="A22" s="57"/>
      <c r="B22" s="72" t="s">
        <v>42</v>
      </c>
      <c r="C22" s="68">
        <v>0</v>
      </c>
      <c r="D22" s="73" t="s">
        <v>31</v>
      </c>
      <c r="E22" s="57"/>
    </row>
    <row r="23" spans="1:5" ht="15" customHeight="1" x14ac:dyDescent="0.25">
      <c r="A23" s="57"/>
      <c r="B23" s="59" t="s">
        <v>136</v>
      </c>
      <c r="C23" s="78">
        <v>131870381.35474335</v>
      </c>
      <c r="D23" s="61" t="s">
        <v>31</v>
      </c>
      <c r="E23" s="57"/>
    </row>
    <row r="24" spans="1:5" ht="30" customHeight="1" x14ac:dyDescent="0.25">
      <c r="A24" s="57"/>
      <c r="B24" s="79" t="s">
        <v>137</v>
      </c>
      <c r="C24" s="79"/>
      <c r="D24" s="79"/>
      <c r="E24" s="57"/>
    </row>
    <row r="25" spans="1:5" ht="15" customHeight="1" x14ac:dyDescent="0.25">
      <c r="A25" s="57"/>
      <c r="B25" s="57"/>
      <c r="C25" s="57"/>
      <c r="D25" s="57"/>
      <c r="E25" s="57"/>
    </row>
    <row r="26" spans="1:5" ht="15" customHeight="1" x14ac:dyDescent="0.25"/>
  </sheetData>
  <sheetProtection algorithmName="SHA-512" hashValue="fwThRl1HZzJykW0ojdagfUoeFao3iuaIqE67703un8eiFqYBHg6hd4F+FiWd4ZpEOeLz9k/TWNDqo1cM8Cgl0A==" saltValue="CEg4cBhQjK/2NKjw5lXQ4g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80"/>
      <c r="C1" s="80"/>
      <c r="D1" s="80"/>
      <c r="E1" s="11"/>
    </row>
    <row r="2" spans="1:5" ht="15" customHeight="1" x14ac:dyDescent="0.25">
      <c r="A2" s="11"/>
      <c r="B2" s="80"/>
      <c r="C2" s="80"/>
      <c r="D2" s="80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81"/>
      <c r="C6" s="81"/>
      <c r="D6" s="81"/>
      <c r="E6" s="11"/>
    </row>
    <row r="7" spans="1:5" ht="15" customHeight="1" x14ac:dyDescent="0.25">
      <c r="A7" s="11"/>
      <c r="B7" s="82"/>
      <c r="C7" s="11"/>
      <c r="D7" s="11"/>
      <c r="E7" s="11"/>
    </row>
    <row r="8" spans="1:5" ht="14.25" customHeight="1" x14ac:dyDescent="0.25">
      <c r="A8" s="11"/>
      <c r="B8" s="83" t="s">
        <v>88</v>
      </c>
      <c r="C8" s="84"/>
      <c r="D8" s="85"/>
      <c r="E8" s="11"/>
    </row>
    <row r="9" spans="1:5" ht="15" customHeight="1" x14ac:dyDescent="0.25">
      <c r="A9" s="11"/>
      <c r="B9" s="52" t="s">
        <v>89</v>
      </c>
      <c r="C9" s="2">
        <v>67862877.098074883</v>
      </c>
      <c r="D9" s="46" t="s">
        <v>31</v>
      </c>
      <c r="E9" s="11"/>
    </row>
    <row r="10" spans="1:5" ht="15" customHeight="1" x14ac:dyDescent="0.25">
      <c r="A10" s="11"/>
      <c r="B10" s="86" t="s">
        <v>90</v>
      </c>
      <c r="C10" s="3">
        <f>-'8. Nøgletal'!C19*C9</f>
        <v>-1357257.5419614976</v>
      </c>
      <c r="D10" s="46" t="s">
        <v>31</v>
      </c>
      <c r="E10" s="11"/>
    </row>
    <row r="11" spans="1:5" ht="15" customHeight="1" x14ac:dyDescent="0.25">
      <c r="A11" s="11"/>
      <c r="B11" s="86" t="s">
        <v>91</v>
      </c>
      <c r="C11" s="2">
        <f>('5.2. Varige tillæg'!C18)*(1+'8. Nøgletal'!C9)*(1-'8. Nøgletal'!C19)+'5.6 Anlægsprojekter'!C12-'6. Bortfald'!C12+'7. Tilknyttet virksomhed'!C12</f>
        <v>11318053.470724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77823673.026837379</v>
      </c>
      <c r="D12" s="46" t="s">
        <v>31</v>
      </c>
      <c r="E12" s="11"/>
    </row>
    <row r="13" spans="1:5" ht="15" customHeight="1" x14ac:dyDescent="0.25">
      <c r="A13" s="11"/>
      <c r="B13" s="87" t="s">
        <v>93</v>
      </c>
      <c r="C13" s="88">
        <f>-C12*'8. Nøgletal'!C19</f>
        <v>-1556473.4605367477</v>
      </c>
      <c r="D13" s="89" t="s">
        <v>31</v>
      </c>
      <c r="E13" s="90"/>
    </row>
    <row r="14" spans="1:5" ht="15" customHeight="1" x14ac:dyDescent="0.25">
      <c r="A14" s="11"/>
      <c r="B14" s="83" t="s">
        <v>94</v>
      </c>
      <c r="C14" s="84"/>
      <c r="D14" s="85"/>
      <c r="E14" s="11"/>
    </row>
    <row r="15" spans="1:5" ht="15" customHeight="1" x14ac:dyDescent="0.25">
      <c r="A15" s="11"/>
      <c r="B15" s="44" t="s">
        <v>46</v>
      </c>
      <c r="C15" s="3">
        <v>69850477.968676895</v>
      </c>
      <c r="D15" s="46" t="s">
        <v>31</v>
      </c>
      <c r="E15" s="11"/>
    </row>
    <row r="16" spans="1:5" ht="15" customHeight="1" x14ac:dyDescent="0.25">
      <c r="A16" s="11"/>
      <c r="B16" s="86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6" t="s">
        <v>95</v>
      </c>
      <c r="C17" s="2">
        <f>('5.2. Varige tillæg'!E18)*(1+'8. Nøgletal'!C9)*(1-'8. Nøgletal'!C14)+'5.6 Anlægsprojekter'!E12-'6. Bortfald'!E12+'7. Tilknyttet virksomhed'!E12</f>
        <v>0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69850477.968676895</v>
      </c>
      <c r="D18" s="46" t="s">
        <v>31</v>
      </c>
      <c r="E18" s="11"/>
    </row>
    <row r="19" spans="1:5" ht="15" customHeight="1" x14ac:dyDescent="0.25">
      <c r="A19" s="11"/>
      <c r="B19" s="87" t="s">
        <v>97</v>
      </c>
      <c r="C19" s="88">
        <f>-C18*'8. Nøgletal'!C15</f>
        <v>0</v>
      </c>
      <c r="D19" s="89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-1556473.4605367477</v>
      </c>
      <c r="D20" s="27" t="s">
        <v>31</v>
      </c>
      <c r="E20" s="11"/>
    </row>
    <row r="21" spans="1:5" ht="39.950000000000003" customHeight="1" x14ac:dyDescent="0.25">
      <c r="A21" s="11"/>
      <c r="B21" s="91" t="s">
        <v>125</v>
      </c>
      <c r="C21" s="92"/>
      <c r="D21" s="93"/>
      <c r="E21" s="90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rIdXVWEnhux6AabE8FpZdsDFub8P6h9PYKJZvnltRKbfZiIOIdvA4m30is5HjLjnf5d3tp4QX6lWPrRsetFmHA==" saltValue="2Jsrm0H5eT+S8Kv8if8WQw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4" t="s">
        <v>99</v>
      </c>
      <c r="C8" s="95"/>
      <c r="D8" s="96"/>
      <c r="E8" s="11"/>
    </row>
    <row r="9" spans="1:5" ht="15" customHeight="1" x14ac:dyDescent="0.25">
      <c r="A9" s="11"/>
      <c r="B9" s="97" t="s">
        <v>138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7" t="s">
        <v>139</v>
      </c>
      <c r="C10" s="33">
        <f>'5.1.a. § 10-tillæg'!E10</f>
        <v>28359.131753990019</v>
      </c>
      <c r="D10" s="46" t="s">
        <v>31</v>
      </c>
      <c r="E10" s="11"/>
    </row>
    <row r="11" spans="1:5" ht="15" customHeight="1" x14ac:dyDescent="0.25">
      <c r="A11" s="11"/>
      <c r="B11" s="97" t="s">
        <v>140</v>
      </c>
      <c r="C11" s="33">
        <f>'5.1.a. § 10-tillæg'!E11</f>
        <v>119259.71602241529</v>
      </c>
      <c r="D11" s="46" t="s">
        <v>31</v>
      </c>
      <c r="E11" s="11"/>
    </row>
    <row r="12" spans="1:5" ht="15" customHeight="1" x14ac:dyDescent="0.25">
      <c r="A12" s="11"/>
      <c r="B12" s="97" t="s">
        <v>141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8" t="s">
        <v>142</v>
      </c>
      <c r="C13" s="33">
        <f>'5.1.a. § 10-tillæg'!E13</f>
        <v>0</v>
      </c>
      <c r="D13" s="46" t="s">
        <v>31</v>
      </c>
      <c r="E13" s="11"/>
    </row>
    <row r="14" spans="1:5" ht="15" customHeight="1" x14ac:dyDescent="0.25">
      <c r="A14" s="11"/>
      <c r="B14" s="98" t="s">
        <v>143</v>
      </c>
      <c r="C14" s="33">
        <f>'5.1.a. § 10-tillæg'!E14</f>
        <v>0</v>
      </c>
      <c r="D14" s="46" t="s">
        <v>31</v>
      </c>
      <c r="E14" s="11"/>
    </row>
    <row r="15" spans="1:5" ht="15" customHeight="1" x14ac:dyDescent="0.25">
      <c r="A15" s="11"/>
      <c r="B15" s="98" t="s">
        <v>152</v>
      </c>
      <c r="C15" s="99">
        <v>107516.7</v>
      </c>
      <c r="D15" s="46" t="s">
        <v>31</v>
      </c>
      <c r="E15" s="11"/>
    </row>
    <row r="16" spans="1:5" ht="15" customHeight="1" x14ac:dyDescent="0.25">
      <c r="A16" s="11"/>
      <c r="B16" s="98"/>
      <c r="C16" s="99"/>
      <c r="D16" s="46" t="s">
        <v>31</v>
      </c>
      <c r="E16" s="11"/>
    </row>
    <row r="17" spans="1:5" ht="15" customHeight="1" x14ac:dyDescent="0.25">
      <c r="A17" s="11"/>
      <c r="B17" s="98"/>
      <c r="C17" s="99"/>
      <c r="D17" s="46" t="s">
        <v>31</v>
      </c>
      <c r="E17" s="11"/>
    </row>
    <row r="18" spans="1:5" ht="15" customHeight="1" x14ac:dyDescent="0.25">
      <c r="A18" s="11"/>
      <c r="B18" s="98"/>
      <c r="C18" s="99"/>
      <c r="D18" s="46" t="s">
        <v>31</v>
      </c>
      <c r="E18" s="11"/>
    </row>
    <row r="19" spans="1:5" ht="15" customHeight="1" x14ac:dyDescent="0.25">
      <c r="A19" s="11"/>
      <c r="B19" s="98"/>
      <c r="C19" s="99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100">
        <f>SUM(C9:C19)</f>
        <v>255135.54777640529</v>
      </c>
      <c r="D20" s="101" t="s">
        <v>31</v>
      </c>
      <c r="E20" s="11"/>
    </row>
    <row r="21" spans="1:5" ht="15" customHeight="1" x14ac:dyDescent="0.25">
      <c r="A21" s="11"/>
      <c r="B21" s="102"/>
      <c r="C21" s="103"/>
      <c r="D21" s="103"/>
      <c r="E21" s="11"/>
    </row>
    <row r="22" spans="1:5" ht="15" customHeight="1" x14ac:dyDescent="0.25">
      <c r="A22" s="11"/>
      <c r="B22" s="83" t="s">
        <v>39</v>
      </c>
      <c r="C22" s="84"/>
      <c r="D22" s="85"/>
      <c r="E22" s="11"/>
    </row>
    <row r="23" spans="1:5" ht="15" customHeight="1" x14ac:dyDescent="0.25">
      <c r="A23" s="11"/>
      <c r="B23" s="104" t="s">
        <v>49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104" t="s">
        <v>50</v>
      </c>
      <c r="C24" s="33">
        <v>0</v>
      </c>
      <c r="D24" s="46" t="s">
        <v>31</v>
      </c>
      <c r="E24" s="11"/>
    </row>
    <row r="25" spans="1:5" ht="15" customHeight="1" x14ac:dyDescent="0.25">
      <c r="A25" s="11"/>
      <c r="B25" s="25" t="s">
        <v>48</v>
      </c>
      <c r="C25" s="100">
        <f>SUM(C23:C24)</f>
        <v>0</v>
      </c>
      <c r="D25" s="101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0HLcjFbtsod0ydM1vqjUg89Tuf//R5lho3JzSBCQdYCZu3fYuogfXNbxA6OXX00MMPGMtYuMjwL9cn73yuWfow==" saltValue="gi1ekX/S4FsD/OQidVY8WQ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7" t="s">
        <v>138</v>
      </c>
      <c r="C9" s="33">
        <v>11870092.879138751</v>
      </c>
      <c r="D9" s="33">
        <v>8140958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7" t="s">
        <v>139</v>
      </c>
      <c r="C10" s="33">
        <v>370579.86824600998</v>
      </c>
      <c r="D10" s="33">
        <v>398939</v>
      </c>
      <c r="E10" s="33">
        <f t="shared" ref="E10:E19" si="0">MAX(D10-C10,0)</f>
        <v>28359.131753990019</v>
      </c>
      <c r="F10" s="46" t="s">
        <v>31</v>
      </c>
      <c r="G10" s="11"/>
    </row>
    <row r="11" spans="1:7" ht="43.5" customHeight="1" x14ac:dyDescent="0.25">
      <c r="A11" s="11"/>
      <c r="B11" s="97" t="s">
        <v>140</v>
      </c>
      <c r="C11" s="33">
        <v>135155.3939775847</v>
      </c>
      <c r="D11" s="33">
        <v>254415.11</v>
      </c>
      <c r="E11" s="33">
        <f t="shared" si="0"/>
        <v>119259.71602241529</v>
      </c>
      <c r="F11" s="46" t="s">
        <v>31</v>
      </c>
      <c r="G11" s="11"/>
    </row>
    <row r="12" spans="1:7" ht="15" customHeight="1" x14ac:dyDescent="0.25">
      <c r="A12" s="11"/>
      <c r="B12" s="97" t="s">
        <v>141</v>
      </c>
      <c r="C12" s="33">
        <v>1370374.7090221155</v>
      </c>
      <c r="D12" s="33">
        <v>1204579.17</v>
      </c>
      <c r="E12" s="33">
        <f t="shared" si="0"/>
        <v>0</v>
      </c>
      <c r="F12" s="46" t="s">
        <v>31</v>
      </c>
      <c r="G12" s="11"/>
    </row>
    <row r="13" spans="1:7" ht="15" customHeight="1" x14ac:dyDescent="0.25">
      <c r="A13" s="11"/>
      <c r="B13" s="98" t="s">
        <v>142</v>
      </c>
      <c r="C13" s="33">
        <v>214695.61022515589</v>
      </c>
      <c r="D13" s="33">
        <v>199577.25</v>
      </c>
      <c r="E13" s="33">
        <f t="shared" si="0"/>
        <v>0</v>
      </c>
      <c r="F13" s="46" t="s">
        <v>31</v>
      </c>
      <c r="G13" s="11"/>
    </row>
    <row r="14" spans="1:7" ht="15" customHeight="1" x14ac:dyDescent="0.25">
      <c r="A14" s="11"/>
      <c r="B14" s="98" t="s">
        <v>143</v>
      </c>
      <c r="C14" s="33">
        <v>3192939.1075725774</v>
      </c>
      <c r="D14" s="33">
        <v>312074.57</v>
      </c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8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8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8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8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8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100"/>
      <c r="D20" s="100"/>
      <c r="E20" s="100"/>
      <c r="F20" s="101"/>
      <c r="G20" s="11"/>
    </row>
    <row r="21" spans="1:7" ht="39.75" customHeight="1" x14ac:dyDescent="0.25">
      <c r="A21" s="11"/>
      <c r="B21" s="49" t="s">
        <v>104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08"/>
      <c r="C22" s="103"/>
      <c r="D22" s="103"/>
      <c r="E22" s="103"/>
      <c r="F22" s="103"/>
      <c r="G22" s="11"/>
    </row>
    <row r="23" spans="1:7" ht="15" customHeight="1" x14ac:dyDescent="0.25">
      <c r="A23" s="11"/>
      <c r="B23" s="108"/>
      <c r="C23" s="103"/>
      <c r="D23" s="103"/>
      <c r="E23" s="103"/>
      <c r="F23" s="103"/>
      <c r="G23" s="11"/>
    </row>
  </sheetData>
  <sheetProtection algorithmName="SHA-512" hashValue="UhIR15aRwERODBAbp3HBArvMT68G/5VvXjZA8EMfRmrFfy+SQ3fQfSnH17uq6cbmDeJugm6A+8y+SHUE12GfaQ==" saltValue="hwkA7r4R9o6J51BjpML1iQ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153</v>
      </c>
      <c r="C10" s="33">
        <v>505741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2" t="s">
        <v>154</v>
      </c>
      <c r="C11" s="33">
        <v>10718901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2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112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2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2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2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2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100">
        <f>SUM(C10:C17)</f>
        <v>11224642</v>
      </c>
      <c r="D18" s="101" t="s">
        <v>31</v>
      </c>
      <c r="E18" s="100">
        <f>SUM(E10:E17)</f>
        <v>0</v>
      </c>
      <c r="F18" s="101" t="s">
        <v>31</v>
      </c>
      <c r="G18" s="11"/>
    </row>
    <row r="19" spans="1:7" ht="15" customHeight="1" x14ac:dyDescent="0.25">
      <c r="A19" s="11"/>
      <c r="B19" s="112" t="s">
        <v>35</v>
      </c>
      <c r="C19" s="33">
        <f>-C18*'8. Nøgletal'!C23</f>
        <v>-11845.477063761209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2" t="s">
        <v>36</v>
      </c>
      <c r="C20" s="33">
        <f>-C18*'8. Nøgletal'!C19</f>
        <v>-224492.84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2" t="s">
        <v>37</v>
      </c>
      <c r="C21" s="33">
        <f>SUM(C18:C20)*'8. Nøgletal'!C9</f>
        <v>317561.97643685725</v>
      </c>
      <c r="D21" s="46" t="s">
        <v>31</v>
      </c>
      <c r="E21" s="33">
        <f>SUM(E18:E20)*'8. Nøgletal'!C9</f>
        <v>0</v>
      </c>
      <c r="F21" s="46" t="s">
        <v>31</v>
      </c>
      <c r="G21" s="11"/>
    </row>
    <row r="22" spans="1:7" ht="26.25" customHeight="1" x14ac:dyDescent="0.25">
      <c r="A22" s="11"/>
      <c r="B22" s="105" t="s">
        <v>106</v>
      </c>
      <c r="C22" s="100">
        <f>SUM(C18:C21)</f>
        <v>11305865.659373095</v>
      </c>
      <c r="D22" s="101" t="s">
        <v>31</v>
      </c>
      <c r="E22" s="100">
        <f>SUM(E18:E21)</f>
        <v>0</v>
      </c>
      <c r="F22" s="101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KqC1weKn+m6cD371SNWiUyl0rWkL0HVFwuum1cZdU6jQwglvDy0/7nhLDMglFfFwtJhi0LtI6tqOJbgIC0TsTw==" saltValue="LrFpMHXe9342SEi8O/EcTw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18</v>
      </c>
      <c r="C8" s="84"/>
      <c r="D8" s="84"/>
      <c r="E8" s="84"/>
      <c r="F8" s="85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155</v>
      </c>
      <c r="C10" s="33">
        <v>3247453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2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2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100">
        <f>SUM(C10:C12)</f>
        <v>3247453</v>
      </c>
      <c r="D13" s="101" t="s">
        <v>31</v>
      </c>
      <c r="E13" s="100">
        <f>SUM(E10:E12)</f>
        <v>0</v>
      </c>
      <c r="F13" s="101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3"/>
      <c r="C15" s="113"/>
      <c r="D15" s="113"/>
      <c r="E15" s="113"/>
      <c r="F15" s="113"/>
      <c r="G15" s="11"/>
    </row>
  </sheetData>
  <sheetProtection algorithmName="SHA-512" hashValue="mb3upydb7LhDgiXEEHyeYif3Q68nP7dQ/FZVTuaCj4UL5prFaFqTncesUjtzU6OdDBf+lmvwoUM8igNupccykg==" saltValue="DYGWcz/mKIx+yaocEjRTz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3" t="s">
        <v>108</v>
      </c>
      <c r="C8" s="84"/>
      <c r="D8" s="85"/>
      <c r="E8" s="11"/>
    </row>
    <row r="9" spans="1:5" ht="15" customHeight="1" x14ac:dyDescent="0.25">
      <c r="A9" s="11"/>
      <c r="B9" s="114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5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5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6" t="s">
        <v>110</v>
      </c>
      <c r="C12" s="100">
        <f>SUM(C9:C11)*(1+'8. Nøgletal'!C9)*(1+'8. Nøgletal'!C10)</f>
        <v>0</v>
      </c>
      <c r="D12" s="101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9NZyYc3rtmKmgtlWH+A6Bx8kryW+F9028LbscNkxiJofc0vR2xi21Z7AL5uDtCF+kMvWPzEdYF1Doh2J332kyg==" saltValue="PQSI4rFQGjUaXYG2XAg+i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3" t="s">
        <v>57</v>
      </c>
      <c r="C8" s="84"/>
      <c r="D8" s="85"/>
      <c r="E8" s="11"/>
    </row>
    <row r="9" spans="1:5" ht="26.25" x14ac:dyDescent="0.25">
      <c r="A9" s="11"/>
      <c r="B9" s="117" t="s">
        <v>112</v>
      </c>
      <c r="C9" s="118"/>
      <c r="D9" s="117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3" t="s">
        <v>59</v>
      </c>
      <c r="C12" s="84"/>
      <c r="D12" s="85"/>
      <c r="E12" s="11"/>
    </row>
    <row r="13" spans="1:5" ht="26.25" customHeight="1" x14ac:dyDescent="0.25">
      <c r="A13" s="11"/>
      <c r="B13" s="117" t="s">
        <v>144</v>
      </c>
      <c r="C13" s="118"/>
      <c r="D13" s="117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100">
        <f>C11+C15</f>
        <v>0</v>
      </c>
      <c r="D16" s="101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nLkr/V8JhdCZ5M5JBeG8Hm+NSYKOD96I9cy1M+WsI4ywgpO5Tw6MfL9GQ5SO/hQBh0NbKV6VOxjTDqt1FmVR1g==" saltValue="Xs5QsuRs6AhpGjn8acv6lg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9" t="s">
        <v>63</v>
      </c>
      <c r="C9" s="120" t="s">
        <v>65</v>
      </c>
      <c r="D9" s="121"/>
      <c r="E9" s="120" t="s">
        <v>64</v>
      </c>
      <c r="F9" s="121"/>
      <c r="G9" s="120" t="s">
        <v>66</v>
      </c>
      <c r="H9" s="121"/>
      <c r="I9" s="11"/>
    </row>
    <row r="10" spans="1:9" ht="15" customHeight="1" x14ac:dyDescent="0.25">
      <c r="A10" s="11"/>
      <c r="B10" s="114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100">
        <f>SUM(C10:C10)</f>
        <v>0</v>
      </c>
      <c r="D11" s="100" t="s">
        <v>68</v>
      </c>
      <c r="E11" s="100">
        <f>SUM(E10:E10)</f>
        <v>0</v>
      </c>
      <c r="F11" s="100" t="s">
        <v>68</v>
      </c>
      <c r="G11" s="100">
        <f>SUM(G10:G10)</f>
        <v>0</v>
      </c>
      <c r="H11" s="101" t="s">
        <v>31</v>
      </c>
      <c r="I11" s="11"/>
    </row>
    <row r="12" spans="1:9" ht="15" customHeight="1" x14ac:dyDescent="0.25">
      <c r="A12" s="11"/>
      <c r="B12" s="25" t="s">
        <v>115</v>
      </c>
      <c r="C12" s="100">
        <f>C11*(1+'8. Nøgletal'!C9)</f>
        <v>0</v>
      </c>
      <c r="D12" s="100" t="s">
        <v>68</v>
      </c>
      <c r="E12" s="100">
        <f>E11*(1+'8. Nøgletal'!C9)</f>
        <v>0</v>
      </c>
      <c r="F12" s="100" t="s">
        <v>68</v>
      </c>
      <c r="G12" s="100">
        <f>G11*(1+'8. Nøgletal'!C9)</f>
        <v>0</v>
      </c>
      <c r="H12" s="101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q1tR0oiLfOyy0hLWnxr76TVY3Xt3m9z2EpFMxlRVm7NTasKOF5g7qJFOTfx6bjlF6pTHGAUeXhm/8fU211UstA==" saltValue="RSuw6ZluvG9dwGels3+6Sg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116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71</v>
      </c>
      <c r="C9" s="123" t="s">
        <v>53</v>
      </c>
      <c r="D9" s="124"/>
      <c r="E9" s="123" t="s">
        <v>54</v>
      </c>
      <c r="F9" s="124"/>
      <c r="G9" s="11"/>
    </row>
    <row r="10" spans="1:7" ht="15" customHeight="1" x14ac:dyDescent="0.25">
      <c r="A10" s="11"/>
      <c r="B10" s="125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100">
        <f>SUM(C10:C10)</f>
        <v>0</v>
      </c>
      <c r="D11" s="101" t="s">
        <v>31</v>
      </c>
      <c r="E11" s="100">
        <f>SUM(E10:E10)</f>
        <v>0</v>
      </c>
      <c r="F11" s="101" t="s">
        <v>31</v>
      </c>
      <c r="G11" s="11"/>
    </row>
    <row r="12" spans="1:7" ht="15" customHeight="1" x14ac:dyDescent="0.25">
      <c r="A12" s="11"/>
      <c r="B12" s="25" t="s">
        <v>117</v>
      </c>
      <c r="C12" s="100">
        <f>C11*(1+'8. Nøgletal'!C9)</f>
        <v>0</v>
      </c>
      <c r="D12" s="101" t="s">
        <v>31</v>
      </c>
      <c r="E12" s="100">
        <f>E11*(1+'8. Nøgletal'!C9)</f>
        <v>0</v>
      </c>
      <c r="F12" s="101" t="s">
        <v>31</v>
      </c>
      <c r="G12" s="90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3"/>
      <c r="C14" s="113"/>
      <c r="D14" s="113"/>
      <c r="E14" s="113"/>
      <c r="F14" s="113"/>
      <c r="G14" s="11"/>
    </row>
  </sheetData>
  <sheetProtection algorithmName="SHA-512" hashValue="cJIRZazoJdXi5jN9lYZacQfluJJ5U8imb3Gt1/edwLGEH07l0E7AUvvmkY1K+u5BGZ+FZvLP358aHCuFDdnwXQ==" saltValue="sDWBAoiTzSA5dxbpwGrZyg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26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75</v>
      </c>
      <c r="C9" s="126" t="s">
        <v>53</v>
      </c>
      <c r="D9" s="111"/>
      <c r="E9" s="126" t="s">
        <v>54</v>
      </c>
      <c r="F9" s="111"/>
      <c r="G9" s="11"/>
    </row>
    <row r="10" spans="1:7" ht="26.25" customHeight="1" x14ac:dyDescent="0.25">
      <c r="A10" s="11"/>
      <c r="B10" s="127" t="s">
        <v>133</v>
      </c>
      <c r="C10" s="128"/>
      <c r="D10" s="129" t="s">
        <v>31</v>
      </c>
      <c r="E10" s="128"/>
      <c r="F10" s="129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0l8FbtGfFi/hcOqkn4RFJrE/CfIKe1TOTXET7KOLh15rNfDYf5v8lQnZkcsvQuVQDJ5aag4DNB/LKPjTZa2YRQ==" saltValue="iscmJJXhtuBq9u1VCJsGf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2.8899999999999999E-2</v>
      </c>
      <c r="D9" s="22"/>
    </row>
    <row r="10" spans="1:4" ht="15" customHeight="1" x14ac:dyDescent="0.25">
      <c r="A10" s="11"/>
      <c r="B10" s="133" t="s">
        <v>119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2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2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4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2"/>
      <c r="C21" s="11"/>
      <c r="D21" s="11"/>
    </row>
    <row r="22" spans="1:4" ht="15" customHeight="1" x14ac:dyDescent="0.25">
      <c r="A22" s="11"/>
      <c r="B22" s="83" t="s">
        <v>35</v>
      </c>
      <c r="C22" s="85"/>
      <c r="D22" s="11"/>
    </row>
    <row r="23" spans="1:4" ht="15" customHeight="1" x14ac:dyDescent="0.25">
      <c r="A23" s="11"/>
      <c r="B23" s="44" t="s">
        <v>82</v>
      </c>
      <c r="C23" s="8">
        <v>1.0553100102222599E-3</v>
      </c>
      <c r="D23" s="22"/>
    </row>
    <row r="24" spans="1:4" ht="15" customHeight="1" x14ac:dyDescent="0.25">
      <c r="A24" s="11"/>
      <c r="B24" s="44" t="s">
        <v>121</v>
      </c>
      <c r="C24" s="8">
        <v>1.0553100102222599E-3</v>
      </c>
      <c r="D24" s="22"/>
    </row>
    <row r="25" spans="1:4" ht="15" customHeight="1" x14ac:dyDescent="0.25">
      <c r="A25" s="11"/>
      <c r="B25" s="83"/>
      <c r="C25" s="85"/>
      <c r="D25" s="11"/>
    </row>
    <row r="26" spans="1:4" ht="15" customHeight="1" x14ac:dyDescent="0.25">
      <c r="A26" s="11"/>
      <c r="B26" s="82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4IweER2S2nUYF4rLuZYqc2VqLocdRfFUM4FtVy0wIEr3iImFOTWbUq1S+nlL2FAV1Zti7WsgmjHDGM4FMbEjSQ==" saltValue="fj3l9Aq3MmsKlYieTc4s4Q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2026-10-01T14:15:46Z</dcterms:modified>
</cp:coreProperties>
</file>